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eLivro" defaultThemeVersion="124226"/>
  <bookViews>
    <workbookView xWindow="-120" yWindow="-165" windowWidth="13695" windowHeight="9360" tabRatio="673" activeTab="4"/>
  </bookViews>
  <sheets>
    <sheet name="Sing Masc" sheetId="86" r:id="rId1"/>
    <sheet name="Sing Fem" sheetId="91" r:id="rId2"/>
    <sheet name="Par Masc" sheetId="95" r:id="rId3"/>
    <sheet name="Par Fem" sheetId="94" r:id="rId4"/>
    <sheet name="Par Misto" sheetId="93" r:id="rId5"/>
    <sheet name="Calend1" sheetId="59" state="hidden" r:id="rId6"/>
  </sheets>
  <definedNames>
    <definedName name="_xlnm._FilterDatabase" localSheetId="3" hidden="1">'Par Fem'!$AN$6:$AZ$54</definedName>
    <definedName name="_xlnm._FilterDatabase" localSheetId="2" hidden="1">'Par Masc'!$AN$6:$AZ$54</definedName>
    <definedName name="_xlnm._FilterDatabase" localSheetId="4" hidden="1">'Par Misto'!$AN$6:$AZ$54</definedName>
    <definedName name="_xlnm._FilterDatabase" localSheetId="1" hidden="1">'Sing Fem'!$AN$6:$AZ$54</definedName>
    <definedName name="_xlnm._FilterDatabase" localSheetId="0" hidden="1">'Sing Masc'!$AN$6:$AZ$54</definedName>
    <definedName name="_xlnm.Print_Area" localSheetId="5">Calend1!$A$1:$I$30</definedName>
    <definedName name="_xlnm.Print_Area" localSheetId="3">'Par Fem'!$B$2:$AE$27</definedName>
    <definedName name="_xlnm.Print_Area" localSheetId="2">'Par Masc'!$B$2:$AE$27</definedName>
    <definedName name="_xlnm.Print_Area" localSheetId="4">'Par Misto'!$B$2:$AE$27</definedName>
    <definedName name="_xlnm.Print_Area" localSheetId="1">'Sing Fem'!$B$2:$AE$27</definedName>
    <definedName name="_xlnm.Print_Area" localSheetId="0">'Sing Masc'!$B$2:$AE$27</definedName>
  </definedNames>
  <calcPr calcId="125725"/>
</workbook>
</file>

<file path=xl/calcChain.xml><?xml version="1.0" encoding="utf-8"?>
<calcChain xmlns="http://schemas.openxmlformats.org/spreadsheetml/2006/main">
  <c r="CN145" i="95"/>
  <c r="CM145"/>
  <c r="CL145"/>
  <c r="CK145"/>
  <c r="CN144"/>
  <c r="CM144"/>
  <c r="CL144"/>
  <c r="CK144"/>
  <c r="CN143"/>
  <c r="CM143"/>
  <c r="CL143"/>
  <c r="CK143"/>
  <c r="CN142"/>
  <c r="CM142"/>
  <c r="CL142"/>
  <c r="CK142"/>
  <c r="CN141"/>
  <c r="CM141"/>
  <c r="CL141"/>
  <c r="CK141"/>
  <c r="CN140"/>
  <c r="CM140"/>
  <c r="CL140"/>
  <c r="CK140"/>
  <c r="CN139"/>
  <c r="CM139"/>
  <c r="CL139"/>
  <c r="CK139"/>
  <c r="CN138"/>
  <c r="CM138"/>
  <c r="CL138"/>
  <c r="CK138"/>
  <c r="CN137"/>
  <c r="CM137"/>
  <c r="CL137"/>
  <c r="CK137"/>
  <c r="CJ137"/>
  <c r="CN136"/>
  <c r="CM136"/>
  <c r="CL136"/>
  <c r="CK136"/>
  <c r="CJ136"/>
  <c r="CN135"/>
  <c r="CM135"/>
  <c r="CL135"/>
  <c r="CK135"/>
  <c r="CJ135"/>
  <c r="CN134"/>
  <c r="CM134"/>
  <c r="CL134"/>
  <c r="CK134"/>
  <c r="CJ134"/>
  <c r="CN133"/>
  <c r="CM133"/>
  <c r="CL133"/>
  <c r="CK133"/>
  <c r="CJ133"/>
  <c r="CN132"/>
  <c r="CM132"/>
  <c r="CL132"/>
  <c r="CK132"/>
  <c r="CJ132"/>
  <c r="CN131"/>
  <c r="CM131"/>
  <c r="CL131"/>
  <c r="CK131"/>
  <c r="CJ131"/>
  <c r="CN130"/>
  <c r="CM130"/>
  <c r="CL130"/>
  <c r="CK130"/>
  <c r="CJ130"/>
  <c r="CN129"/>
  <c r="CM129"/>
  <c r="CL129"/>
  <c r="CK129"/>
  <c r="CJ129"/>
  <c r="CN128"/>
  <c r="CM128"/>
  <c r="CL128"/>
  <c r="CK128"/>
  <c r="CJ128"/>
  <c r="BC128"/>
  <c r="CN127"/>
  <c r="CM127"/>
  <c r="CL127"/>
  <c r="CK127"/>
  <c r="CJ127"/>
  <c r="CN126"/>
  <c r="CM126"/>
  <c r="CL126"/>
  <c r="CK126"/>
  <c r="CJ126"/>
  <c r="CN125"/>
  <c r="CM125"/>
  <c r="CL125"/>
  <c r="CK125"/>
  <c r="CJ125"/>
  <c r="CN124"/>
  <c r="CM124"/>
  <c r="CL124"/>
  <c r="CK124"/>
  <c r="CJ124"/>
  <c r="CN123"/>
  <c r="CM123"/>
  <c r="CL123"/>
  <c r="CK123"/>
  <c r="CJ123"/>
  <c r="CN122"/>
  <c r="CM122"/>
  <c r="CL122"/>
  <c r="CK122"/>
  <c r="CJ122"/>
  <c r="CN121"/>
  <c r="CM121"/>
  <c r="CL121"/>
  <c r="CK121"/>
  <c r="CJ121"/>
  <c r="CN120"/>
  <c r="CM120"/>
  <c r="CL120"/>
  <c r="CK120"/>
  <c r="CJ120"/>
  <c r="CN119"/>
  <c r="CM119"/>
  <c r="CL119"/>
  <c r="CK119"/>
  <c r="CJ119"/>
  <c r="CN118"/>
  <c r="CM118"/>
  <c r="CL118"/>
  <c r="CK118"/>
  <c r="CJ118"/>
  <c r="CN117"/>
  <c r="CM117"/>
  <c r="CL117"/>
  <c r="CK117"/>
  <c r="CJ117"/>
  <c r="CN116"/>
  <c r="CM116"/>
  <c r="CL116"/>
  <c r="CK116"/>
  <c r="CJ116"/>
  <c r="CN115"/>
  <c r="CM115"/>
  <c r="CL115"/>
  <c r="CK115"/>
  <c r="CJ115"/>
  <c r="CN114"/>
  <c r="CM114"/>
  <c r="CL114"/>
  <c r="CK114"/>
  <c r="CJ114"/>
  <c r="CN113"/>
  <c r="CM113"/>
  <c r="CL113"/>
  <c r="CK113"/>
  <c r="CJ113"/>
  <c r="CN112"/>
  <c r="CM112"/>
  <c r="CL112"/>
  <c r="CK112"/>
  <c r="CJ112"/>
  <c r="CN111"/>
  <c r="CM111"/>
  <c r="CL111"/>
  <c r="CK111"/>
  <c r="CJ111"/>
  <c r="CN110"/>
  <c r="CM110"/>
  <c r="CL110"/>
  <c r="CK110"/>
  <c r="CJ110"/>
  <c r="CN109"/>
  <c r="CM109"/>
  <c r="CL109"/>
  <c r="CK109"/>
  <c r="CJ109"/>
  <c r="CN108"/>
  <c r="CM108"/>
  <c r="CL108"/>
  <c r="CK108"/>
  <c r="CJ108"/>
  <c r="CN107"/>
  <c r="CM107"/>
  <c r="CL107"/>
  <c r="CK107"/>
  <c r="CJ107"/>
  <c r="CN106"/>
  <c r="CM106"/>
  <c r="CL106"/>
  <c r="CK106"/>
  <c r="CJ106"/>
  <c r="CN105"/>
  <c r="CM105"/>
  <c r="CL105"/>
  <c r="CK105"/>
  <c r="CJ105"/>
  <c r="CN104"/>
  <c r="CM104"/>
  <c r="CL104"/>
  <c r="CK104"/>
  <c r="CJ104"/>
  <c r="CN103"/>
  <c r="CM103"/>
  <c r="CL103"/>
  <c r="CK103"/>
  <c r="CJ103"/>
  <c r="CN102"/>
  <c r="CM102"/>
  <c r="CL102"/>
  <c r="CK102"/>
  <c r="CJ102"/>
  <c r="BB127" s="1"/>
  <c r="BC102"/>
  <c r="BB101" s="1"/>
  <c r="O98"/>
  <c r="W96"/>
  <c r="V94"/>
  <c r="O94"/>
  <c r="P96" s="1"/>
  <c r="V90"/>
  <c r="O90"/>
  <c r="W88"/>
  <c r="X92" s="1"/>
  <c r="Y86" s="1"/>
  <c r="Y87" s="1"/>
  <c r="AC87"/>
  <c r="AB87"/>
  <c r="AA87"/>
  <c r="Z87"/>
  <c r="O86"/>
  <c r="P88" s="1"/>
  <c r="O80"/>
  <c r="W78"/>
  <c r="V76"/>
  <c r="O76"/>
  <c r="P78" s="1"/>
  <c r="V72"/>
  <c r="O72"/>
  <c r="W70"/>
  <c r="X74" s="1"/>
  <c r="Y68" s="1"/>
  <c r="Y69" s="1"/>
  <c r="AC69"/>
  <c r="AB69"/>
  <c r="AA69"/>
  <c r="Z69"/>
  <c r="O68"/>
  <c r="P70" s="1"/>
  <c r="O62"/>
  <c r="W60"/>
  <c r="V58"/>
  <c r="O58"/>
  <c r="P60" s="1"/>
  <c r="AS54"/>
  <c r="AR54"/>
  <c r="AQ54"/>
  <c r="AO54"/>
  <c r="AN54"/>
  <c r="V54"/>
  <c r="O54"/>
  <c r="AS53"/>
  <c r="AR53"/>
  <c r="AQ53"/>
  <c r="AO53"/>
  <c r="AN53"/>
  <c r="AC53"/>
  <c r="AB53"/>
  <c r="AA53"/>
  <c r="Z53"/>
  <c r="AS52"/>
  <c r="AR52"/>
  <c r="AQ52"/>
  <c r="AO52"/>
  <c r="AN52"/>
  <c r="W52"/>
  <c r="X56" s="1"/>
  <c r="Y50" s="1"/>
  <c r="Y51" s="1"/>
  <c r="AS51"/>
  <c r="AR51"/>
  <c r="AQ51"/>
  <c r="AO51"/>
  <c r="AN51"/>
  <c r="AC51"/>
  <c r="AB51"/>
  <c r="AA51"/>
  <c r="Z51"/>
  <c r="AS50"/>
  <c r="AR50"/>
  <c r="AQ50"/>
  <c r="AO50"/>
  <c r="AN50"/>
  <c r="O50"/>
  <c r="AS49"/>
  <c r="AR49"/>
  <c r="AQ49"/>
  <c r="AO49"/>
  <c r="AN49"/>
  <c r="AS48"/>
  <c r="AR48"/>
  <c r="AQ48"/>
  <c r="AO48"/>
  <c r="AN48"/>
  <c r="AS47"/>
  <c r="AR47"/>
  <c r="AQ47"/>
  <c r="AO47"/>
  <c r="AN47"/>
  <c r="AS46"/>
  <c r="AR46"/>
  <c r="AQ46"/>
  <c r="AO46"/>
  <c r="AN46"/>
  <c r="AS45"/>
  <c r="AR45"/>
  <c r="AQ45"/>
  <c r="AO45"/>
  <c r="AN45"/>
  <c r="AS44"/>
  <c r="AR44"/>
  <c r="AQ44"/>
  <c r="AO44"/>
  <c r="AN44"/>
  <c r="H44"/>
  <c r="AS43"/>
  <c r="AR43"/>
  <c r="AQ43"/>
  <c r="AO43"/>
  <c r="AN43"/>
  <c r="O43"/>
  <c r="AS42"/>
  <c r="AR42"/>
  <c r="AQ42"/>
  <c r="AO42"/>
  <c r="AN42"/>
  <c r="H42"/>
  <c r="I43" s="1"/>
  <c r="AS41"/>
  <c r="AR41"/>
  <c r="AQ41"/>
  <c r="AO41"/>
  <c r="AN41"/>
  <c r="W41"/>
  <c r="AS40"/>
  <c r="AR40"/>
  <c r="AQ40"/>
  <c r="AO40"/>
  <c r="AN40"/>
  <c r="H40"/>
  <c r="AS39"/>
  <c r="AR39"/>
  <c r="AQ39"/>
  <c r="AO39"/>
  <c r="AN39"/>
  <c r="V39"/>
  <c r="O39"/>
  <c r="P41" s="1"/>
  <c r="AS38"/>
  <c r="AR38"/>
  <c r="AQ38"/>
  <c r="AO38"/>
  <c r="AN38"/>
  <c r="H38"/>
  <c r="AS37"/>
  <c r="AR37"/>
  <c r="AQ37"/>
  <c r="AO37"/>
  <c r="AN37"/>
  <c r="AS36"/>
  <c r="AR36"/>
  <c r="AQ36"/>
  <c r="AO36"/>
  <c r="AN36"/>
  <c r="H36"/>
  <c r="AS35"/>
  <c r="AR35"/>
  <c r="AQ35"/>
  <c r="AO35"/>
  <c r="AN35"/>
  <c r="V35"/>
  <c r="P37" s="1"/>
  <c r="Y33" s="1"/>
  <c r="Y34" s="1"/>
  <c r="O35"/>
  <c r="AS34"/>
  <c r="AR34"/>
  <c r="AQ34"/>
  <c r="AO34"/>
  <c r="AN34"/>
  <c r="AC34"/>
  <c r="AB34"/>
  <c r="AA34"/>
  <c r="Z34"/>
  <c r="H34"/>
  <c r="AS33"/>
  <c r="AR33"/>
  <c r="AQ33"/>
  <c r="AO33"/>
  <c r="AN33"/>
  <c r="W33"/>
  <c r="X37" s="1"/>
  <c r="Y31" s="1"/>
  <c r="Y32" s="1"/>
  <c r="AS32"/>
  <c r="AR32"/>
  <c r="AQ32"/>
  <c r="AO32"/>
  <c r="AN32"/>
  <c r="AC32"/>
  <c r="AB32"/>
  <c r="AA32"/>
  <c r="Z32"/>
  <c r="H32"/>
  <c r="AS31"/>
  <c r="AR31"/>
  <c r="AQ31"/>
  <c r="AO31"/>
  <c r="AN31"/>
  <c r="O31"/>
  <c r="P33" s="1"/>
  <c r="AS30"/>
  <c r="AR30"/>
  <c r="AQ30"/>
  <c r="AO30"/>
  <c r="AN30"/>
  <c r="H30"/>
  <c r="I31" s="1"/>
  <c r="AS29"/>
  <c r="AR29"/>
  <c r="AQ29"/>
  <c r="AO29"/>
  <c r="AN29"/>
  <c r="AS28"/>
  <c r="AR28"/>
  <c r="AQ28"/>
  <c r="AO28"/>
  <c r="AN28"/>
  <c r="AS27"/>
  <c r="AR27"/>
  <c r="AQ27"/>
  <c r="AO27"/>
  <c r="AN27"/>
  <c r="AA27"/>
  <c r="Y27"/>
  <c r="CP125" s="1"/>
  <c r="T27"/>
  <c r="R27"/>
  <c r="CP123" s="1"/>
  <c r="M27"/>
  <c r="K27"/>
  <c r="CP121" s="1"/>
  <c r="F27"/>
  <c r="D27"/>
  <c r="CP119" s="1"/>
  <c r="AS26"/>
  <c r="AR26"/>
  <c r="AQ26"/>
  <c r="AO26"/>
  <c r="AN26"/>
  <c r="AA26"/>
  <c r="AY54" s="1"/>
  <c r="Y26"/>
  <c r="CO125" s="1"/>
  <c r="T26"/>
  <c r="AY42" s="1"/>
  <c r="R26"/>
  <c r="AP41" s="1"/>
  <c r="M26"/>
  <c r="AY30" s="1"/>
  <c r="K26"/>
  <c r="AP29" s="1"/>
  <c r="F26"/>
  <c r="D26"/>
  <c r="CO119" s="1"/>
  <c r="AS25"/>
  <c r="AR25"/>
  <c r="AQ25"/>
  <c r="AO25"/>
  <c r="AN25"/>
  <c r="AI25"/>
  <c r="AG25"/>
  <c r="AA25"/>
  <c r="Y25"/>
  <c r="AP52" s="1"/>
  <c r="T25"/>
  <c r="R25"/>
  <c r="AP40" s="1"/>
  <c r="M25"/>
  <c r="K25"/>
  <c r="CP120" s="1"/>
  <c r="F25"/>
  <c r="D25"/>
  <c r="CP118" s="1"/>
  <c r="AS24"/>
  <c r="AR24"/>
  <c r="AQ24"/>
  <c r="AO24"/>
  <c r="AN24"/>
  <c r="AK24"/>
  <c r="AI24"/>
  <c r="AG24"/>
  <c r="AA24"/>
  <c r="AX52" s="1"/>
  <c r="Y24"/>
  <c r="AP51" s="1"/>
  <c r="T24"/>
  <c r="AV39" s="1"/>
  <c r="R24"/>
  <c r="CO122" s="1"/>
  <c r="M24"/>
  <c r="AY28" s="1"/>
  <c r="K24"/>
  <c r="AP27" s="1"/>
  <c r="F24"/>
  <c r="D24"/>
  <c r="CO118" s="1"/>
  <c r="AS23"/>
  <c r="AR23"/>
  <c r="AQ23"/>
  <c r="AO23"/>
  <c r="AN23"/>
  <c r="AK23"/>
  <c r="AI23"/>
  <c r="AG23"/>
  <c r="AA23"/>
  <c r="Y23"/>
  <c r="CP117" s="1"/>
  <c r="T23"/>
  <c r="R23"/>
  <c r="AP38" s="1"/>
  <c r="M23"/>
  <c r="K23"/>
  <c r="CP113" s="1"/>
  <c r="F23"/>
  <c r="D23"/>
  <c r="CP111" s="1"/>
  <c r="AS22"/>
  <c r="AR22"/>
  <c r="AQ22"/>
  <c r="AO22"/>
  <c r="AN22"/>
  <c r="AK22"/>
  <c r="AI22"/>
  <c r="AG22"/>
  <c r="AA22"/>
  <c r="AV50" s="1"/>
  <c r="Y22"/>
  <c r="CO117" s="1"/>
  <c r="T22"/>
  <c r="AV37" s="1"/>
  <c r="R22"/>
  <c r="CO115" s="1"/>
  <c r="M22"/>
  <c r="AX25" s="1"/>
  <c r="K22"/>
  <c r="CO113" s="1"/>
  <c r="F22"/>
  <c r="D22"/>
  <c r="CO111" s="1"/>
  <c r="AS21"/>
  <c r="AR21"/>
  <c r="AQ21"/>
  <c r="AO21"/>
  <c r="AN21"/>
  <c r="AK21"/>
  <c r="AI21"/>
  <c r="AG21"/>
  <c r="AA21"/>
  <c r="Y21"/>
  <c r="AP48" s="1"/>
  <c r="T21"/>
  <c r="R21"/>
  <c r="CP114" s="1"/>
  <c r="M21"/>
  <c r="K21"/>
  <c r="CP112" s="1"/>
  <c r="F21"/>
  <c r="D21"/>
  <c r="CP110" s="1"/>
  <c r="AS20"/>
  <c r="AR20"/>
  <c r="AQ20"/>
  <c r="AO20"/>
  <c r="AN20"/>
  <c r="AI20"/>
  <c r="AG20"/>
  <c r="AA20"/>
  <c r="AX47" s="1"/>
  <c r="Y20"/>
  <c r="AP47" s="1"/>
  <c r="T20"/>
  <c r="AY36" s="1"/>
  <c r="R20"/>
  <c r="AP35" s="1"/>
  <c r="M20"/>
  <c r="AX24" s="1"/>
  <c r="K20"/>
  <c r="CO112" s="1"/>
  <c r="F20"/>
  <c r="D20"/>
  <c r="CO110" s="1"/>
  <c r="AS19"/>
  <c r="AR19"/>
  <c r="AQ19"/>
  <c r="AO19"/>
  <c r="AN19"/>
  <c r="AK19"/>
  <c r="AI19"/>
  <c r="AG19"/>
  <c r="AA19"/>
  <c r="Y19"/>
  <c r="CP109" s="1"/>
  <c r="T19"/>
  <c r="R19"/>
  <c r="CP107" s="1"/>
  <c r="M19"/>
  <c r="K19"/>
  <c r="AP22" s="1"/>
  <c r="F19"/>
  <c r="D19"/>
  <c r="CP103" s="1"/>
  <c r="AY18"/>
  <c r="AX18"/>
  <c r="AZ18" s="1"/>
  <c r="AV18"/>
  <c r="AU18"/>
  <c r="AW18" s="1"/>
  <c r="AT18"/>
  <c r="AS18"/>
  <c r="AR18"/>
  <c r="AQ18"/>
  <c r="AP18"/>
  <c r="AO18"/>
  <c r="AN18"/>
  <c r="AK18"/>
  <c r="AI18"/>
  <c r="AG18"/>
  <c r="AA18"/>
  <c r="AY46" s="1"/>
  <c r="Y18"/>
  <c r="CO109" s="1"/>
  <c r="T18"/>
  <c r="AY34" s="1"/>
  <c r="R18"/>
  <c r="CO107" s="1"/>
  <c r="M18"/>
  <c r="AX22" s="1"/>
  <c r="K18"/>
  <c r="CO105" s="1"/>
  <c r="F18"/>
  <c r="D18"/>
  <c r="CO103" s="1"/>
  <c r="AY17"/>
  <c r="AX17"/>
  <c r="AZ17" s="1"/>
  <c r="AV17"/>
  <c r="AU17"/>
  <c r="AW17" s="1"/>
  <c r="AT17"/>
  <c r="AS17"/>
  <c r="AR17"/>
  <c r="AQ17"/>
  <c r="AP17"/>
  <c r="AO17"/>
  <c r="AN17"/>
  <c r="AK17"/>
  <c r="AI17"/>
  <c r="AG17"/>
  <c r="AA17"/>
  <c r="Y17"/>
  <c r="CP108" s="1"/>
  <c r="T17"/>
  <c r="R17"/>
  <c r="CP106" s="1"/>
  <c r="M17"/>
  <c r="K17"/>
  <c r="AP20" s="1"/>
  <c r="F17"/>
  <c r="D17"/>
  <c r="CP102" s="1"/>
  <c r="AY16"/>
  <c r="AX16"/>
  <c r="AZ16" s="1"/>
  <c r="AV16"/>
  <c r="AU16"/>
  <c r="AW16" s="1"/>
  <c r="AT16"/>
  <c r="AS16"/>
  <c r="AR16"/>
  <c r="AQ16"/>
  <c r="AP16"/>
  <c r="AO16"/>
  <c r="AN16"/>
  <c r="AK16"/>
  <c r="AI16"/>
  <c r="AG16"/>
  <c r="AA16"/>
  <c r="AV43" s="1"/>
  <c r="Y16"/>
  <c r="AP43" s="1"/>
  <c r="T16"/>
  <c r="AY32" s="1"/>
  <c r="R16"/>
  <c r="CO106" s="1"/>
  <c r="M16"/>
  <c r="AV19" s="1"/>
  <c r="K16"/>
  <c r="CO104" s="1"/>
  <c r="F16"/>
  <c r="D16"/>
  <c r="CO102" s="1"/>
  <c r="AY15"/>
  <c r="AX15"/>
  <c r="AZ15" s="1"/>
  <c r="AV15"/>
  <c r="AU15"/>
  <c r="AW15" s="1"/>
  <c r="AT15"/>
  <c r="AS15"/>
  <c r="AR15"/>
  <c r="AQ15"/>
  <c r="AP15"/>
  <c r="AO15"/>
  <c r="AN15"/>
  <c r="AI15"/>
  <c r="AG15"/>
  <c r="AY14"/>
  <c r="AX14"/>
  <c r="AZ14" s="1"/>
  <c r="AV14"/>
  <c r="AU14"/>
  <c r="AW14" s="1"/>
  <c r="AT14"/>
  <c r="AS14"/>
  <c r="AR14"/>
  <c r="AQ14"/>
  <c r="AP14"/>
  <c r="AO14"/>
  <c r="AN14"/>
  <c r="AK14"/>
  <c r="AI14"/>
  <c r="AG14"/>
  <c r="AY13"/>
  <c r="AX13"/>
  <c r="AZ13" s="1"/>
  <c r="AV13"/>
  <c r="AU13"/>
  <c r="AW13" s="1"/>
  <c r="AT13"/>
  <c r="AS13"/>
  <c r="AR13"/>
  <c r="AQ13"/>
  <c r="AP13"/>
  <c r="AO13"/>
  <c r="AN13"/>
  <c r="AK13"/>
  <c r="AI13"/>
  <c r="AG13"/>
  <c r="AY12"/>
  <c r="AX12"/>
  <c r="AZ12" s="1"/>
  <c r="AV12"/>
  <c r="AU12"/>
  <c r="AW12" s="1"/>
  <c r="AT12"/>
  <c r="AS12"/>
  <c r="AR12"/>
  <c r="AQ12"/>
  <c r="AP12"/>
  <c r="AO12"/>
  <c r="AN12"/>
  <c r="AK12"/>
  <c r="AI12"/>
  <c r="AG12"/>
  <c r="AY11"/>
  <c r="AX11"/>
  <c r="AZ11" s="1"/>
  <c r="AV11"/>
  <c r="AU11"/>
  <c r="AW11" s="1"/>
  <c r="AT11"/>
  <c r="AS11"/>
  <c r="AR11"/>
  <c r="AQ11"/>
  <c r="AP11"/>
  <c r="AO11"/>
  <c r="AN11"/>
  <c r="AK11"/>
  <c r="AI11"/>
  <c r="AG11"/>
  <c r="AY10"/>
  <c r="AX10"/>
  <c r="AZ10" s="1"/>
  <c r="AV10"/>
  <c r="AU10"/>
  <c r="AW10" s="1"/>
  <c r="AT10"/>
  <c r="AS10"/>
  <c r="AR10"/>
  <c r="AQ10"/>
  <c r="AP10"/>
  <c r="AO10"/>
  <c r="AN10"/>
  <c r="AI10"/>
  <c r="AG10"/>
  <c r="AC10"/>
  <c r="V10"/>
  <c r="O10"/>
  <c r="H10"/>
  <c r="AY9"/>
  <c r="AX9"/>
  <c r="AZ9" s="1"/>
  <c r="AV9"/>
  <c r="AU9"/>
  <c r="AW9" s="1"/>
  <c r="AT9"/>
  <c r="AS9"/>
  <c r="AR9"/>
  <c r="AQ9"/>
  <c r="AP9"/>
  <c r="AO9"/>
  <c r="AN9"/>
  <c r="AC9"/>
  <c r="V9"/>
  <c r="O9"/>
  <c r="H9"/>
  <c r="AY8"/>
  <c r="AX8"/>
  <c r="AZ8" s="1"/>
  <c r="AV8"/>
  <c r="AU8"/>
  <c r="AW8" s="1"/>
  <c r="AT8"/>
  <c r="AS8"/>
  <c r="AR8"/>
  <c r="AQ8"/>
  <c r="AP8"/>
  <c r="AO8"/>
  <c r="AN8"/>
  <c r="AC8"/>
  <c r="V8"/>
  <c r="O8"/>
  <c r="H8"/>
  <c r="AY7"/>
  <c r="AX7"/>
  <c r="AZ7" s="1"/>
  <c r="AV7"/>
  <c r="AU7"/>
  <c r="AW7" s="1"/>
  <c r="AT7"/>
  <c r="AS7"/>
  <c r="AR7"/>
  <c r="AQ7"/>
  <c r="AP7"/>
  <c r="AO7"/>
  <c r="AN7"/>
  <c r="AC7"/>
  <c r="Y15" s="1"/>
  <c r="I98" s="1"/>
  <c r="CP143" s="1"/>
  <c r="V7"/>
  <c r="R15" s="1"/>
  <c r="I94" s="1"/>
  <c r="CO143" s="1"/>
  <c r="O7"/>
  <c r="K15" s="1"/>
  <c r="I90" s="1"/>
  <c r="CP142" s="1"/>
  <c r="H7"/>
  <c r="D15" s="1"/>
  <c r="I86" s="1"/>
  <c r="CO142" s="1"/>
  <c r="CN145" i="94"/>
  <c r="CM145"/>
  <c r="CL145"/>
  <c r="CK145"/>
  <c r="CN144"/>
  <c r="CM144"/>
  <c r="CL144"/>
  <c r="CK144"/>
  <c r="CN143"/>
  <c r="CM143"/>
  <c r="CL143"/>
  <c r="CK143"/>
  <c r="CN142"/>
  <c r="CM142"/>
  <c r="CL142"/>
  <c r="CK142"/>
  <c r="CN141"/>
  <c r="CM141"/>
  <c r="CL141"/>
  <c r="CK141"/>
  <c r="CN140"/>
  <c r="CM140"/>
  <c r="CL140"/>
  <c r="CK140"/>
  <c r="CN139"/>
  <c r="CM139"/>
  <c r="CL139"/>
  <c r="CK139"/>
  <c r="CN138"/>
  <c r="CM138"/>
  <c r="CL138"/>
  <c r="CK138"/>
  <c r="CN137"/>
  <c r="CM137"/>
  <c r="CL137"/>
  <c r="CK137"/>
  <c r="CJ137"/>
  <c r="CN136"/>
  <c r="CM136"/>
  <c r="CL136"/>
  <c r="CK136"/>
  <c r="CJ136"/>
  <c r="CN135"/>
  <c r="CM135"/>
  <c r="CL135"/>
  <c r="CK135"/>
  <c r="CJ135"/>
  <c r="CN134"/>
  <c r="CM134"/>
  <c r="CL134"/>
  <c r="CK134"/>
  <c r="CJ134"/>
  <c r="CN133"/>
  <c r="CM133"/>
  <c r="CL133"/>
  <c r="CK133"/>
  <c r="CJ133"/>
  <c r="CN132"/>
  <c r="CM132"/>
  <c r="CL132"/>
  <c r="CK132"/>
  <c r="CJ132"/>
  <c r="CN131"/>
  <c r="CM131"/>
  <c r="CL131"/>
  <c r="CK131"/>
  <c r="CJ131"/>
  <c r="CN130"/>
  <c r="CM130"/>
  <c r="CL130"/>
  <c r="CK130"/>
  <c r="CJ130"/>
  <c r="CN129"/>
  <c r="CM129"/>
  <c r="CL129"/>
  <c r="CK129"/>
  <c r="CJ129"/>
  <c r="CN128"/>
  <c r="CM128"/>
  <c r="CL128"/>
  <c r="CK128"/>
  <c r="CJ128"/>
  <c r="BC128"/>
  <c r="CN127"/>
  <c r="CM127"/>
  <c r="CL127"/>
  <c r="CK127"/>
  <c r="CJ127"/>
  <c r="CN126"/>
  <c r="CM126"/>
  <c r="CL126"/>
  <c r="CK126"/>
  <c r="CJ126"/>
  <c r="CN125"/>
  <c r="CM125"/>
  <c r="CL125"/>
  <c r="CK125"/>
  <c r="CJ125"/>
  <c r="CN124"/>
  <c r="CM124"/>
  <c r="CL124"/>
  <c r="CK124"/>
  <c r="CJ124"/>
  <c r="CN123"/>
  <c r="CM123"/>
  <c r="CL123"/>
  <c r="CK123"/>
  <c r="CJ123"/>
  <c r="CP122"/>
  <c r="CN122"/>
  <c r="CM122"/>
  <c r="CL122"/>
  <c r="CK122"/>
  <c r="CJ122"/>
  <c r="CN121"/>
  <c r="CM121"/>
  <c r="CL121"/>
  <c r="CK121"/>
  <c r="CJ121"/>
  <c r="CN120"/>
  <c r="CM120"/>
  <c r="CL120"/>
  <c r="CK120"/>
  <c r="CJ120"/>
  <c r="CN119"/>
  <c r="CM119"/>
  <c r="CL119"/>
  <c r="CK119"/>
  <c r="CJ119"/>
  <c r="CN118"/>
  <c r="CM118"/>
  <c r="CL118"/>
  <c r="CK118"/>
  <c r="CJ118"/>
  <c r="CN117"/>
  <c r="CM117"/>
  <c r="CL117"/>
  <c r="CK117"/>
  <c r="CJ117"/>
  <c r="CP116"/>
  <c r="CN116"/>
  <c r="CM116"/>
  <c r="CL116"/>
  <c r="CK116"/>
  <c r="CJ116"/>
  <c r="CN115"/>
  <c r="CM115"/>
  <c r="CL115"/>
  <c r="CK115"/>
  <c r="CJ115"/>
  <c r="CO114"/>
  <c r="CN114"/>
  <c r="CM114"/>
  <c r="CL114"/>
  <c r="CK114"/>
  <c r="CJ114"/>
  <c r="CN113"/>
  <c r="CM113"/>
  <c r="CL113"/>
  <c r="CK113"/>
  <c r="CJ113"/>
  <c r="CN112"/>
  <c r="CM112"/>
  <c r="CL112"/>
  <c r="CK112"/>
  <c r="CJ112"/>
  <c r="CN111"/>
  <c r="CM111"/>
  <c r="CL111"/>
  <c r="CK111"/>
  <c r="CJ111"/>
  <c r="CN110"/>
  <c r="CM110"/>
  <c r="CL110"/>
  <c r="CK110"/>
  <c r="CJ110"/>
  <c r="CN109"/>
  <c r="CM109"/>
  <c r="CL109"/>
  <c r="CK109"/>
  <c r="CJ109"/>
  <c r="CN108"/>
  <c r="CM108"/>
  <c r="CL108"/>
  <c r="CK108"/>
  <c r="CJ108"/>
  <c r="CN107"/>
  <c r="CM107"/>
  <c r="CL107"/>
  <c r="CK107"/>
  <c r="CJ107"/>
  <c r="CN106"/>
  <c r="CM106"/>
  <c r="CL106"/>
  <c r="CK106"/>
  <c r="CJ106"/>
  <c r="CN105"/>
  <c r="CM105"/>
  <c r="CL105"/>
  <c r="CK105"/>
  <c r="CJ105"/>
  <c r="CN104"/>
  <c r="CM104"/>
  <c r="CL104"/>
  <c r="CK104"/>
  <c r="CJ104"/>
  <c r="CN103"/>
  <c r="CM103"/>
  <c r="CL103"/>
  <c r="CK103"/>
  <c r="CJ103"/>
  <c r="CN102"/>
  <c r="CM102"/>
  <c r="CL102"/>
  <c r="CK102"/>
  <c r="CJ102"/>
  <c r="BB127" s="1"/>
  <c r="BC102"/>
  <c r="BB101" s="1"/>
  <c r="O98"/>
  <c r="W96"/>
  <c r="V94"/>
  <c r="O94"/>
  <c r="P96" s="1"/>
  <c r="V90"/>
  <c r="O90"/>
  <c r="W88"/>
  <c r="X92" s="1"/>
  <c r="Y86" s="1"/>
  <c r="Y87" s="1"/>
  <c r="AC87"/>
  <c r="AB87"/>
  <c r="AA87"/>
  <c r="Z87"/>
  <c r="O86"/>
  <c r="P88" s="1"/>
  <c r="O80"/>
  <c r="W78"/>
  <c r="V76"/>
  <c r="O76"/>
  <c r="P78" s="1"/>
  <c r="V72"/>
  <c r="O72"/>
  <c r="W70"/>
  <c r="X74" s="1"/>
  <c r="Y68" s="1"/>
  <c r="Y69" s="1"/>
  <c r="AC69"/>
  <c r="AB69"/>
  <c r="AA69"/>
  <c r="Z69"/>
  <c r="O68"/>
  <c r="P70" s="1"/>
  <c r="O62"/>
  <c r="W60"/>
  <c r="V58"/>
  <c r="O58"/>
  <c r="P60" s="1"/>
  <c r="AS54"/>
  <c r="AR54"/>
  <c r="AQ54"/>
  <c r="AO54"/>
  <c r="AN54"/>
  <c r="V54"/>
  <c r="P56" s="1"/>
  <c r="Y52" s="1"/>
  <c r="Y53" s="1"/>
  <c r="O54"/>
  <c r="AS53"/>
  <c r="AR53"/>
  <c r="AQ53"/>
  <c r="AO53"/>
  <c r="AN53"/>
  <c r="AC53"/>
  <c r="AB53"/>
  <c r="AA53"/>
  <c r="Z53"/>
  <c r="AS52"/>
  <c r="AR52"/>
  <c r="AQ52"/>
  <c r="AO52"/>
  <c r="AN52"/>
  <c r="W52"/>
  <c r="X56" s="1"/>
  <c r="Y50" s="1"/>
  <c r="Y51" s="1"/>
  <c r="AS51"/>
  <c r="AR51"/>
  <c r="AQ51"/>
  <c r="AO51"/>
  <c r="AN51"/>
  <c r="AC51"/>
  <c r="AB51"/>
  <c r="AA51"/>
  <c r="Z51"/>
  <c r="AS50"/>
  <c r="AR50"/>
  <c r="AQ50"/>
  <c r="AO50"/>
  <c r="AN50"/>
  <c r="O50"/>
  <c r="P52" s="1"/>
  <c r="P54" s="1"/>
  <c r="CO136" s="1"/>
  <c r="AS49"/>
  <c r="AR49"/>
  <c r="AQ49"/>
  <c r="AO49"/>
  <c r="AN49"/>
  <c r="AS48"/>
  <c r="AR48"/>
  <c r="AQ48"/>
  <c r="AO48"/>
  <c r="AN48"/>
  <c r="AS47"/>
  <c r="AR47"/>
  <c r="AQ47"/>
  <c r="AO47"/>
  <c r="AN47"/>
  <c r="AX46"/>
  <c r="AT46"/>
  <c r="AS46"/>
  <c r="AR46"/>
  <c r="AQ46"/>
  <c r="AO46"/>
  <c r="AN46"/>
  <c r="AY45"/>
  <c r="AU45"/>
  <c r="AS45"/>
  <c r="AR45"/>
  <c r="AQ45"/>
  <c r="AO45"/>
  <c r="AN45"/>
  <c r="AV44"/>
  <c r="AS44"/>
  <c r="AR44"/>
  <c r="AQ44"/>
  <c r="AO44"/>
  <c r="AN44"/>
  <c r="H44"/>
  <c r="AY43"/>
  <c r="AU43"/>
  <c r="AS43"/>
  <c r="AR43"/>
  <c r="AQ43"/>
  <c r="AO43"/>
  <c r="AN43"/>
  <c r="O43"/>
  <c r="AX42"/>
  <c r="AT42"/>
  <c r="AS42"/>
  <c r="AR42"/>
  <c r="AQ42"/>
  <c r="AO42"/>
  <c r="AN42"/>
  <c r="H42"/>
  <c r="I43" s="1"/>
  <c r="AS41"/>
  <c r="AR41"/>
  <c r="AQ41"/>
  <c r="AO41"/>
  <c r="AN41"/>
  <c r="W41"/>
  <c r="AV40"/>
  <c r="AS40"/>
  <c r="AR40"/>
  <c r="AQ40"/>
  <c r="AO40"/>
  <c r="AN40"/>
  <c r="H40"/>
  <c r="AY39"/>
  <c r="AU39"/>
  <c r="AS39"/>
  <c r="AR39"/>
  <c r="AQ39"/>
  <c r="AO39"/>
  <c r="AN39"/>
  <c r="V39"/>
  <c r="O39"/>
  <c r="AV38"/>
  <c r="AS38"/>
  <c r="AR38"/>
  <c r="AQ38"/>
  <c r="AO38"/>
  <c r="AN38"/>
  <c r="H38"/>
  <c r="I39" s="1"/>
  <c r="AY37"/>
  <c r="AU37"/>
  <c r="AW37" s="1"/>
  <c r="AS37"/>
  <c r="AR37"/>
  <c r="AQ37"/>
  <c r="AO37"/>
  <c r="AN37"/>
  <c r="AX36"/>
  <c r="AT36"/>
  <c r="AS36"/>
  <c r="AR36"/>
  <c r="AQ36"/>
  <c r="AO36"/>
  <c r="AN36"/>
  <c r="H36"/>
  <c r="AS35"/>
  <c r="AR35"/>
  <c r="AQ35"/>
  <c r="AO35"/>
  <c r="AN35"/>
  <c r="V35"/>
  <c r="P37" s="1"/>
  <c r="Y33" s="1"/>
  <c r="Y34" s="1"/>
  <c r="O35"/>
  <c r="AX34"/>
  <c r="AT34"/>
  <c r="AS34"/>
  <c r="AR34"/>
  <c r="AQ34"/>
  <c r="AO34"/>
  <c r="AN34"/>
  <c r="AC34"/>
  <c r="AB34"/>
  <c r="AA34"/>
  <c r="Z34"/>
  <c r="H34"/>
  <c r="I35" s="1"/>
  <c r="AX33"/>
  <c r="AT33"/>
  <c r="AS33"/>
  <c r="AR33"/>
  <c r="AQ33"/>
  <c r="AP33"/>
  <c r="AO33"/>
  <c r="AN33"/>
  <c r="W33"/>
  <c r="X37" s="1"/>
  <c r="Y31" s="1"/>
  <c r="Y32" s="1"/>
  <c r="AX32"/>
  <c r="AZ32" s="1"/>
  <c r="AT32"/>
  <c r="AS32"/>
  <c r="AR32"/>
  <c r="AQ32"/>
  <c r="AP32"/>
  <c r="AO32"/>
  <c r="AN32"/>
  <c r="AC32"/>
  <c r="AB32"/>
  <c r="AA32"/>
  <c r="Z32"/>
  <c r="H32"/>
  <c r="AX31"/>
  <c r="AT31"/>
  <c r="AS31"/>
  <c r="AR31"/>
  <c r="AQ31"/>
  <c r="AO31"/>
  <c r="AN31"/>
  <c r="O31"/>
  <c r="AX30"/>
  <c r="AS30"/>
  <c r="AR30"/>
  <c r="AQ30"/>
  <c r="AO30"/>
  <c r="AN30"/>
  <c r="H30"/>
  <c r="I31" s="1"/>
  <c r="AS29"/>
  <c r="AR29"/>
  <c r="AQ29"/>
  <c r="AO29"/>
  <c r="AN29"/>
  <c r="AS28"/>
  <c r="AR28"/>
  <c r="AQ28"/>
  <c r="AP28"/>
  <c r="AO28"/>
  <c r="AN28"/>
  <c r="AS27"/>
  <c r="AR27"/>
  <c r="AQ27"/>
  <c r="AO27"/>
  <c r="AN27"/>
  <c r="AA27"/>
  <c r="AT54" s="1"/>
  <c r="Y27"/>
  <c r="CP125" s="1"/>
  <c r="T27"/>
  <c r="R27"/>
  <c r="AP42" s="1"/>
  <c r="M27"/>
  <c r="AT30" s="1"/>
  <c r="K27"/>
  <c r="CP121" s="1"/>
  <c r="F27"/>
  <c r="D27"/>
  <c r="CP119" s="1"/>
  <c r="AS26"/>
  <c r="AR26"/>
  <c r="AQ26"/>
  <c r="AO26"/>
  <c r="AN26"/>
  <c r="AA26"/>
  <c r="AY54" s="1"/>
  <c r="Y26"/>
  <c r="CO125" s="1"/>
  <c r="T26"/>
  <c r="AY42" s="1"/>
  <c r="R26"/>
  <c r="AP41" s="1"/>
  <c r="M26"/>
  <c r="AY30" s="1"/>
  <c r="K26"/>
  <c r="AP29" s="1"/>
  <c r="F26"/>
  <c r="D26"/>
  <c r="CO119" s="1"/>
  <c r="AS25"/>
  <c r="AR25"/>
  <c r="AQ25"/>
  <c r="AO25"/>
  <c r="AN25"/>
  <c r="AI25"/>
  <c r="AG25"/>
  <c r="AA25"/>
  <c r="AC10" s="1"/>
  <c r="Y25"/>
  <c r="AP52" s="1"/>
  <c r="T25"/>
  <c r="R25"/>
  <c r="AP40" s="1"/>
  <c r="M25"/>
  <c r="O10" s="1"/>
  <c r="K25"/>
  <c r="CP120" s="1"/>
  <c r="F25"/>
  <c r="D25"/>
  <c r="CP118" s="1"/>
  <c r="AS24"/>
  <c r="AR24"/>
  <c r="AQ24"/>
  <c r="AO24"/>
  <c r="AN24"/>
  <c r="AK24"/>
  <c r="AI24"/>
  <c r="AG24"/>
  <c r="AA24"/>
  <c r="AX52" s="1"/>
  <c r="Y24"/>
  <c r="AP51" s="1"/>
  <c r="T24"/>
  <c r="AV39" s="1"/>
  <c r="R24"/>
  <c r="CO122" s="1"/>
  <c r="M24"/>
  <c r="AY28" s="1"/>
  <c r="K24"/>
  <c r="AP27" s="1"/>
  <c r="F24"/>
  <c r="D24"/>
  <c r="CO118" s="1"/>
  <c r="AS23"/>
  <c r="AR23"/>
  <c r="AQ23"/>
  <c r="AO23"/>
  <c r="AN23"/>
  <c r="AK23"/>
  <c r="AI23"/>
  <c r="AG23"/>
  <c r="AA23"/>
  <c r="AC8" s="1"/>
  <c r="Y23"/>
  <c r="CP117" s="1"/>
  <c r="T23"/>
  <c r="R23"/>
  <c r="AP38" s="1"/>
  <c r="M23"/>
  <c r="O8" s="1"/>
  <c r="K23"/>
  <c r="CP113" s="1"/>
  <c r="F23"/>
  <c r="D23"/>
  <c r="CP111" s="1"/>
  <c r="AV22"/>
  <c r="AS22"/>
  <c r="AR22"/>
  <c r="AQ22"/>
  <c r="AO22"/>
  <c r="AN22"/>
  <c r="AK22"/>
  <c r="AI22"/>
  <c r="AG22"/>
  <c r="AA22"/>
  <c r="AV50" s="1"/>
  <c r="Y22"/>
  <c r="CO117" s="1"/>
  <c r="T22"/>
  <c r="AV37" s="1"/>
  <c r="R22"/>
  <c r="CO115" s="1"/>
  <c r="M22"/>
  <c r="AX25" s="1"/>
  <c r="K22"/>
  <c r="CO113" s="1"/>
  <c r="F22"/>
  <c r="D22"/>
  <c r="CO111" s="1"/>
  <c r="AV21"/>
  <c r="AS21"/>
  <c r="AR21"/>
  <c r="AQ21"/>
  <c r="AO21"/>
  <c r="AN21"/>
  <c r="AK21"/>
  <c r="AI21"/>
  <c r="AG21"/>
  <c r="AA21"/>
  <c r="AV48" s="1"/>
  <c r="Y21"/>
  <c r="AP48" s="1"/>
  <c r="T21"/>
  <c r="R21"/>
  <c r="CP114" s="1"/>
  <c r="M21"/>
  <c r="AV24" s="1"/>
  <c r="K21"/>
  <c r="CP112" s="1"/>
  <c r="F21"/>
  <c r="D21"/>
  <c r="CP110" s="1"/>
  <c r="AV20"/>
  <c r="AS20"/>
  <c r="AR20"/>
  <c r="AQ20"/>
  <c r="AO20"/>
  <c r="AN20"/>
  <c r="AI20"/>
  <c r="AG20"/>
  <c r="AA20"/>
  <c r="AX47" s="1"/>
  <c r="Y20"/>
  <c r="AP47" s="1"/>
  <c r="T20"/>
  <c r="AY36" s="1"/>
  <c r="R20"/>
  <c r="AP35" s="1"/>
  <c r="M20"/>
  <c r="AX24" s="1"/>
  <c r="K20"/>
  <c r="CO112" s="1"/>
  <c r="F20"/>
  <c r="D20"/>
  <c r="CO110" s="1"/>
  <c r="AY19"/>
  <c r="AU19"/>
  <c r="AS19"/>
  <c r="AR19"/>
  <c r="AQ19"/>
  <c r="AO19"/>
  <c r="AN19"/>
  <c r="AK19"/>
  <c r="AI19"/>
  <c r="AG19"/>
  <c r="AA19"/>
  <c r="Y19"/>
  <c r="AP46" s="1"/>
  <c r="T19"/>
  <c r="R19"/>
  <c r="CP107" s="1"/>
  <c r="M19"/>
  <c r="K19"/>
  <c r="AP22" s="1"/>
  <c r="F19"/>
  <c r="D19"/>
  <c r="CP103" s="1"/>
  <c r="AY18"/>
  <c r="AZ18" s="1"/>
  <c r="AX18"/>
  <c r="AV18"/>
  <c r="AU18"/>
  <c r="AW18" s="1"/>
  <c r="AT18"/>
  <c r="AS18"/>
  <c r="AR18"/>
  <c r="AQ18"/>
  <c r="AP18"/>
  <c r="AO18"/>
  <c r="AN18"/>
  <c r="AK18"/>
  <c r="AI18"/>
  <c r="AG18"/>
  <c r="AA18"/>
  <c r="AY46" s="1"/>
  <c r="Y18"/>
  <c r="CO109" s="1"/>
  <c r="T18"/>
  <c r="AY34" s="1"/>
  <c r="R18"/>
  <c r="CO107" s="1"/>
  <c r="M18"/>
  <c r="AX22" s="1"/>
  <c r="K18"/>
  <c r="CO105" s="1"/>
  <c r="F18"/>
  <c r="D18"/>
  <c r="CO103" s="1"/>
  <c r="BB131" s="1"/>
  <c r="AY17"/>
  <c r="AZ17" s="1"/>
  <c r="AX17"/>
  <c r="AV17"/>
  <c r="AU17"/>
  <c r="AW17" s="1"/>
  <c r="AT17"/>
  <c r="AS17"/>
  <c r="AR17"/>
  <c r="AQ17"/>
  <c r="AO17"/>
  <c r="AN17"/>
  <c r="AK17"/>
  <c r="AI17"/>
  <c r="AG17"/>
  <c r="AA17"/>
  <c r="Y17"/>
  <c r="CP108" s="1"/>
  <c r="T17"/>
  <c r="R17"/>
  <c r="CP106" s="1"/>
  <c r="M17"/>
  <c r="K17"/>
  <c r="AP20" s="1"/>
  <c r="F17"/>
  <c r="D17"/>
  <c r="CP102" s="1"/>
  <c r="AY16"/>
  <c r="AZ16" s="1"/>
  <c r="AX16"/>
  <c r="AV16"/>
  <c r="AU16"/>
  <c r="AW16" s="1"/>
  <c r="AT16"/>
  <c r="AS16"/>
  <c r="AR16"/>
  <c r="AQ16"/>
  <c r="AP16"/>
  <c r="AO16"/>
  <c r="AN16"/>
  <c r="AK16"/>
  <c r="AI16"/>
  <c r="AG16"/>
  <c r="AA16"/>
  <c r="AV43" s="1"/>
  <c r="Y16"/>
  <c r="AP43" s="1"/>
  <c r="T16"/>
  <c r="AY32" s="1"/>
  <c r="R16"/>
  <c r="CO106" s="1"/>
  <c r="M16"/>
  <c r="AV19" s="1"/>
  <c r="K16"/>
  <c r="CO104" s="1"/>
  <c r="F16"/>
  <c r="D16"/>
  <c r="CO102" s="1"/>
  <c r="BB105" s="1"/>
  <c r="BB116" s="1"/>
  <c r="AY15"/>
  <c r="AZ15" s="1"/>
  <c r="AX15"/>
  <c r="AV15"/>
  <c r="AU15"/>
  <c r="AW15" s="1"/>
  <c r="AT15"/>
  <c r="AS15"/>
  <c r="AR15"/>
  <c r="AQ15"/>
  <c r="AP15"/>
  <c r="AO15"/>
  <c r="AN15"/>
  <c r="AI15"/>
  <c r="AG15"/>
  <c r="AY14"/>
  <c r="AX14"/>
  <c r="AZ14" s="1"/>
  <c r="AV14"/>
  <c r="AU14"/>
  <c r="AW14" s="1"/>
  <c r="AT14"/>
  <c r="AS14"/>
  <c r="AR14"/>
  <c r="AQ14"/>
  <c r="AP14"/>
  <c r="AO14"/>
  <c r="AN14"/>
  <c r="AK14"/>
  <c r="AI14"/>
  <c r="AG14"/>
  <c r="AY13"/>
  <c r="AX13"/>
  <c r="AZ13" s="1"/>
  <c r="AV13"/>
  <c r="AU13"/>
  <c r="AW13" s="1"/>
  <c r="AT13"/>
  <c r="AS13"/>
  <c r="AR13"/>
  <c r="AQ13"/>
  <c r="AP13"/>
  <c r="AO13"/>
  <c r="AN13"/>
  <c r="AK13"/>
  <c r="AI13"/>
  <c r="AG13"/>
  <c r="AY12"/>
  <c r="AX12"/>
  <c r="AZ12" s="1"/>
  <c r="AV12"/>
  <c r="AU12"/>
  <c r="AW12" s="1"/>
  <c r="AT12"/>
  <c r="AS12"/>
  <c r="AR12"/>
  <c r="AQ12"/>
  <c r="AO12"/>
  <c r="AN12"/>
  <c r="AK12"/>
  <c r="AI12"/>
  <c r="AG12"/>
  <c r="AY11"/>
  <c r="AX11"/>
  <c r="AZ11" s="1"/>
  <c r="AV11"/>
  <c r="AU11"/>
  <c r="AW11" s="1"/>
  <c r="AT11"/>
  <c r="AS11"/>
  <c r="AR11"/>
  <c r="AQ11"/>
  <c r="AP11"/>
  <c r="AO11"/>
  <c r="AN11"/>
  <c r="AK11"/>
  <c r="AI11"/>
  <c r="AG11"/>
  <c r="AY10"/>
  <c r="AX10"/>
  <c r="AZ10" s="1"/>
  <c r="AV10"/>
  <c r="AU10"/>
  <c r="AW10" s="1"/>
  <c r="AT10"/>
  <c r="AS10"/>
  <c r="AR10"/>
  <c r="AQ10"/>
  <c r="AP10"/>
  <c r="AO10"/>
  <c r="AN10"/>
  <c r="AI10"/>
  <c r="AG10"/>
  <c r="V10"/>
  <c r="H10"/>
  <c r="AY9"/>
  <c r="AX9"/>
  <c r="AZ9" s="1"/>
  <c r="AW9"/>
  <c r="AV9"/>
  <c r="AU9"/>
  <c r="AT9"/>
  <c r="AS9"/>
  <c r="AR9"/>
  <c r="AQ9"/>
  <c r="AO9"/>
  <c r="AN9"/>
  <c r="V9"/>
  <c r="O9"/>
  <c r="H9"/>
  <c r="AY8"/>
  <c r="AX8"/>
  <c r="AZ8" s="1"/>
  <c r="AV8"/>
  <c r="AU8"/>
  <c r="AW8" s="1"/>
  <c r="AT8"/>
  <c r="AS8"/>
  <c r="AR8"/>
  <c r="AQ8"/>
  <c r="AP8"/>
  <c r="AO8"/>
  <c r="AN8"/>
  <c r="V8"/>
  <c r="H8"/>
  <c r="AY7"/>
  <c r="AZ7" s="1"/>
  <c r="AX7"/>
  <c r="AV7"/>
  <c r="AU7"/>
  <c r="AW7" s="1"/>
  <c r="AT7"/>
  <c r="AS7"/>
  <c r="AR7"/>
  <c r="AQ7"/>
  <c r="AP7"/>
  <c r="AO7"/>
  <c r="AN7"/>
  <c r="AC7"/>
  <c r="V7"/>
  <c r="R15" s="1"/>
  <c r="I94" s="1"/>
  <c r="CO143" s="1"/>
  <c r="H7"/>
  <c r="D15" s="1"/>
  <c r="I86" s="1"/>
  <c r="CO142" s="1"/>
  <c r="CN145" i="93"/>
  <c r="CM145"/>
  <c r="CL145"/>
  <c r="CK145"/>
  <c r="CN144"/>
  <c r="CM144"/>
  <c r="CL144"/>
  <c r="CK144"/>
  <c r="CN143"/>
  <c r="CM143"/>
  <c r="CL143"/>
  <c r="CK143"/>
  <c r="CN142"/>
  <c r="CM142"/>
  <c r="CL142"/>
  <c r="CK142"/>
  <c r="CN141"/>
  <c r="CM141"/>
  <c r="CL141"/>
  <c r="CK141"/>
  <c r="CN140"/>
  <c r="CM140"/>
  <c r="CL140"/>
  <c r="CK140"/>
  <c r="CN139"/>
  <c r="CM139"/>
  <c r="CL139"/>
  <c r="CK139"/>
  <c r="CN138"/>
  <c r="CM138"/>
  <c r="CL138"/>
  <c r="CK138"/>
  <c r="CN137"/>
  <c r="CM137"/>
  <c r="CL137"/>
  <c r="CK137"/>
  <c r="CJ137"/>
  <c r="CN136"/>
  <c r="CM136"/>
  <c r="CL136"/>
  <c r="CK136"/>
  <c r="CJ136"/>
  <c r="CN135"/>
  <c r="CM135"/>
  <c r="CL135"/>
  <c r="CK135"/>
  <c r="CJ135"/>
  <c r="CN134"/>
  <c r="CM134"/>
  <c r="CL134"/>
  <c r="CK134"/>
  <c r="CJ134"/>
  <c r="CN133"/>
  <c r="CM133"/>
  <c r="CL133"/>
  <c r="CK133"/>
  <c r="CJ133"/>
  <c r="CN132"/>
  <c r="CM132"/>
  <c r="CL132"/>
  <c r="CK132"/>
  <c r="CJ132"/>
  <c r="CN131"/>
  <c r="CM131"/>
  <c r="CL131"/>
  <c r="CK131"/>
  <c r="CJ131"/>
  <c r="CN130"/>
  <c r="CM130"/>
  <c r="CL130"/>
  <c r="CK130"/>
  <c r="CJ130"/>
  <c r="CN129"/>
  <c r="CM129"/>
  <c r="CL129"/>
  <c r="CK129"/>
  <c r="CJ129"/>
  <c r="CN128"/>
  <c r="CM128"/>
  <c r="CL128"/>
  <c r="CK128"/>
  <c r="CJ128"/>
  <c r="BC128"/>
  <c r="CN127"/>
  <c r="CM127"/>
  <c r="CL127"/>
  <c r="CK127"/>
  <c r="CJ127"/>
  <c r="CN126"/>
  <c r="CM126"/>
  <c r="CL126"/>
  <c r="CK126"/>
  <c r="CJ126"/>
  <c r="CN125"/>
  <c r="CM125"/>
  <c r="CL125"/>
  <c r="CK125"/>
  <c r="CJ125"/>
  <c r="CN124"/>
  <c r="CM124"/>
  <c r="CL124"/>
  <c r="CK124"/>
  <c r="CJ124"/>
  <c r="CN123"/>
  <c r="CM123"/>
  <c r="CL123"/>
  <c r="CK123"/>
  <c r="CJ123"/>
  <c r="CP122"/>
  <c r="CN122"/>
  <c r="CM122"/>
  <c r="CL122"/>
  <c r="CK122"/>
  <c r="CJ122"/>
  <c r="CN121"/>
  <c r="CM121"/>
  <c r="CL121"/>
  <c r="CK121"/>
  <c r="CJ121"/>
  <c r="CN120"/>
  <c r="CM120"/>
  <c r="CL120"/>
  <c r="CK120"/>
  <c r="CJ120"/>
  <c r="CN119"/>
  <c r="CM119"/>
  <c r="CL119"/>
  <c r="CK119"/>
  <c r="CJ119"/>
  <c r="CN118"/>
  <c r="CM118"/>
  <c r="CL118"/>
  <c r="CK118"/>
  <c r="CJ118"/>
  <c r="CN117"/>
  <c r="CM117"/>
  <c r="CL117"/>
  <c r="CK117"/>
  <c r="CJ117"/>
  <c r="CN116"/>
  <c r="CM116"/>
  <c r="CL116"/>
  <c r="CK116"/>
  <c r="CJ116"/>
  <c r="CN115"/>
  <c r="CM115"/>
  <c r="CL115"/>
  <c r="CK115"/>
  <c r="CJ115"/>
  <c r="CO114"/>
  <c r="CN114"/>
  <c r="CM114"/>
  <c r="CL114"/>
  <c r="CK114"/>
  <c r="CJ114"/>
  <c r="CN113"/>
  <c r="CM113"/>
  <c r="CL113"/>
  <c r="CK113"/>
  <c r="CJ113"/>
  <c r="CN112"/>
  <c r="CM112"/>
  <c r="CL112"/>
  <c r="CK112"/>
  <c r="CJ112"/>
  <c r="CN111"/>
  <c r="CM111"/>
  <c r="CL111"/>
  <c r="CK111"/>
  <c r="CJ111"/>
  <c r="CN110"/>
  <c r="CM110"/>
  <c r="CL110"/>
  <c r="CK110"/>
  <c r="CJ110"/>
  <c r="CN109"/>
  <c r="CM109"/>
  <c r="CL109"/>
  <c r="CK109"/>
  <c r="CJ109"/>
  <c r="CN108"/>
  <c r="CM108"/>
  <c r="CL108"/>
  <c r="CK108"/>
  <c r="CJ108"/>
  <c r="CN107"/>
  <c r="CM107"/>
  <c r="CL107"/>
  <c r="CK107"/>
  <c r="CJ107"/>
  <c r="CN106"/>
  <c r="CM106"/>
  <c r="CL106"/>
  <c r="CK106"/>
  <c r="CJ106"/>
  <c r="CN105"/>
  <c r="CM105"/>
  <c r="CL105"/>
  <c r="CK105"/>
  <c r="CJ105"/>
  <c r="CN104"/>
  <c r="CM104"/>
  <c r="CL104"/>
  <c r="CK104"/>
  <c r="CJ104"/>
  <c r="CN103"/>
  <c r="CM103"/>
  <c r="CL103"/>
  <c r="CK103"/>
  <c r="CJ103"/>
  <c r="CN102"/>
  <c r="CM102"/>
  <c r="CL102"/>
  <c r="CK102"/>
  <c r="CJ102"/>
  <c r="BB127" s="1"/>
  <c r="BC102"/>
  <c r="BB101" s="1"/>
  <c r="O98"/>
  <c r="W96"/>
  <c r="V94"/>
  <c r="O94"/>
  <c r="V90"/>
  <c r="O90"/>
  <c r="W88"/>
  <c r="X92" s="1"/>
  <c r="Y86" s="1"/>
  <c r="Y87" s="1"/>
  <c r="AC87"/>
  <c r="AB87"/>
  <c r="AA87"/>
  <c r="Z87"/>
  <c r="O86"/>
  <c r="P88" s="1"/>
  <c r="O80"/>
  <c r="W78"/>
  <c r="V76"/>
  <c r="O76"/>
  <c r="P78" s="1"/>
  <c r="V72"/>
  <c r="O72"/>
  <c r="W70"/>
  <c r="X74" s="1"/>
  <c r="Y68" s="1"/>
  <c r="Y69" s="1"/>
  <c r="P70"/>
  <c r="CO141" s="1"/>
  <c r="AC69"/>
  <c r="AB69"/>
  <c r="AA69"/>
  <c r="Z69"/>
  <c r="O68"/>
  <c r="O62"/>
  <c r="W60"/>
  <c r="V58"/>
  <c r="O58"/>
  <c r="AS54"/>
  <c r="AR54"/>
  <c r="AQ54"/>
  <c r="AO54"/>
  <c r="AN54"/>
  <c r="V54"/>
  <c r="P56" s="1"/>
  <c r="Y52" s="1"/>
  <c r="Y53" s="1"/>
  <c r="O54"/>
  <c r="AS53"/>
  <c r="AR53"/>
  <c r="AQ53"/>
  <c r="AO53"/>
  <c r="AN53"/>
  <c r="AC53"/>
  <c r="AB53"/>
  <c r="AA53"/>
  <c r="Z53"/>
  <c r="AS52"/>
  <c r="AR52"/>
  <c r="AQ52"/>
  <c r="AO52"/>
  <c r="AN52"/>
  <c r="W52"/>
  <c r="X56" s="1"/>
  <c r="Y50" s="1"/>
  <c r="Y51" s="1"/>
  <c r="AS51"/>
  <c r="AR51"/>
  <c r="AQ51"/>
  <c r="AO51"/>
  <c r="AN51"/>
  <c r="AC51"/>
  <c r="AB51"/>
  <c r="AA51"/>
  <c r="Z51"/>
  <c r="AS50"/>
  <c r="AR50"/>
  <c r="AQ50"/>
  <c r="AO50"/>
  <c r="AN50"/>
  <c r="O50"/>
  <c r="AS49"/>
  <c r="AR49"/>
  <c r="AQ49"/>
  <c r="AO49"/>
  <c r="AN49"/>
  <c r="AS48"/>
  <c r="AR48"/>
  <c r="AQ48"/>
  <c r="AO48"/>
  <c r="AN48"/>
  <c r="AS47"/>
  <c r="AR47"/>
  <c r="AQ47"/>
  <c r="AO47"/>
  <c r="AN47"/>
  <c r="AX46"/>
  <c r="AZ46" s="1"/>
  <c r="AT46"/>
  <c r="AS46"/>
  <c r="AR46"/>
  <c r="AQ46"/>
  <c r="AO46"/>
  <c r="AN46"/>
  <c r="AY45"/>
  <c r="AU45"/>
  <c r="AS45"/>
  <c r="AR45"/>
  <c r="AQ45"/>
  <c r="AO45"/>
  <c r="AN45"/>
  <c r="AV44"/>
  <c r="AS44"/>
  <c r="AR44"/>
  <c r="AQ44"/>
  <c r="AO44"/>
  <c r="AN44"/>
  <c r="H44"/>
  <c r="AY43"/>
  <c r="AU43"/>
  <c r="AS43"/>
  <c r="AR43"/>
  <c r="AQ43"/>
  <c r="AO43"/>
  <c r="AN43"/>
  <c r="O43"/>
  <c r="AX42"/>
  <c r="AT42"/>
  <c r="AS42"/>
  <c r="AR42"/>
  <c r="AQ42"/>
  <c r="AO42"/>
  <c r="AN42"/>
  <c r="H42"/>
  <c r="I43" s="1"/>
  <c r="AS41"/>
  <c r="AR41"/>
  <c r="AQ41"/>
  <c r="AO41"/>
  <c r="AN41"/>
  <c r="W41"/>
  <c r="AV40"/>
  <c r="AS40"/>
  <c r="AR40"/>
  <c r="AQ40"/>
  <c r="AO40"/>
  <c r="AN40"/>
  <c r="H40"/>
  <c r="AY39"/>
  <c r="AU39"/>
  <c r="AS39"/>
  <c r="AR39"/>
  <c r="AQ39"/>
  <c r="AO39"/>
  <c r="AN39"/>
  <c r="V39"/>
  <c r="O39"/>
  <c r="AV38"/>
  <c r="AS38"/>
  <c r="AR38"/>
  <c r="AQ38"/>
  <c r="AO38"/>
  <c r="AN38"/>
  <c r="H38"/>
  <c r="I39" s="1"/>
  <c r="I58" s="1"/>
  <c r="CO135" s="1"/>
  <c r="AY37"/>
  <c r="AV37"/>
  <c r="AU37"/>
  <c r="AW37" s="1"/>
  <c r="AS37"/>
  <c r="AR37"/>
  <c r="AQ37"/>
  <c r="AO37"/>
  <c r="AN37"/>
  <c r="AX36"/>
  <c r="AZ36" s="1"/>
  <c r="AT36"/>
  <c r="AS36"/>
  <c r="AR36"/>
  <c r="AQ36"/>
  <c r="AO36"/>
  <c r="AN36"/>
  <c r="H36"/>
  <c r="AX35"/>
  <c r="AT35"/>
  <c r="AS35"/>
  <c r="AR35"/>
  <c r="AQ35"/>
  <c r="AP35"/>
  <c r="AO35"/>
  <c r="AN35"/>
  <c r="V35"/>
  <c r="O35"/>
  <c r="AX34"/>
  <c r="AT34"/>
  <c r="AS34"/>
  <c r="AR34"/>
  <c r="AQ34"/>
  <c r="AO34"/>
  <c r="AN34"/>
  <c r="AC34"/>
  <c r="AB34"/>
  <c r="AA34"/>
  <c r="Z34"/>
  <c r="H34"/>
  <c r="AY33"/>
  <c r="AX33"/>
  <c r="AZ33" s="1"/>
  <c r="AU33"/>
  <c r="AT33"/>
  <c r="AS33"/>
  <c r="AR33"/>
  <c r="AQ33"/>
  <c r="AO33"/>
  <c r="AN33"/>
  <c r="W33"/>
  <c r="X37" s="1"/>
  <c r="Y31" s="1"/>
  <c r="Y32" s="1"/>
  <c r="AX32"/>
  <c r="AT32"/>
  <c r="AS32"/>
  <c r="AR32"/>
  <c r="AQ32"/>
  <c r="AP32"/>
  <c r="AO32"/>
  <c r="AN32"/>
  <c r="AC32"/>
  <c r="AB32"/>
  <c r="AA32"/>
  <c r="Z32"/>
  <c r="H32"/>
  <c r="AX31"/>
  <c r="AT31"/>
  <c r="AS31"/>
  <c r="AR31"/>
  <c r="AQ31"/>
  <c r="AO31"/>
  <c r="AN31"/>
  <c r="O31"/>
  <c r="P33" s="1"/>
  <c r="AS30"/>
  <c r="AR30"/>
  <c r="AQ30"/>
  <c r="AO30"/>
  <c r="AN30"/>
  <c r="H30"/>
  <c r="AS29"/>
  <c r="AR29"/>
  <c r="AQ29"/>
  <c r="AO29"/>
  <c r="AN29"/>
  <c r="AS28"/>
  <c r="AR28"/>
  <c r="AQ28"/>
  <c r="AP28"/>
  <c r="AO28"/>
  <c r="AN28"/>
  <c r="AS27"/>
  <c r="AR27"/>
  <c r="AQ27"/>
  <c r="AO27"/>
  <c r="AN27"/>
  <c r="AA27"/>
  <c r="AY53" s="1"/>
  <c r="Y27"/>
  <c r="CP125" s="1"/>
  <c r="T27"/>
  <c r="R27"/>
  <c r="CP123" s="1"/>
  <c r="M27"/>
  <c r="AY30" s="1"/>
  <c r="K27"/>
  <c r="CP121" s="1"/>
  <c r="F27"/>
  <c r="D27"/>
  <c r="CP119" s="1"/>
  <c r="AS26"/>
  <c r="AR26"/>
  <c r="AQ26"/>
  <c r="AO26"/>
  <c r="AN26"/>
  <c r="AA26"/>
  <c r="AY54" s="1"/>
  <c r="Y26"/>
  <c r="CO125" s="1"/>
  <c r="T26"/>
  <c r="AY42" s="1"/>
  <c r="R26"/>
  <c r="AP41" s="1"/>
  <c r="M26"/>
  <c r="AV30" s="1"/>
  <c r="K26"/>
  <c r="CO121" s="1"/>
  <c r="F26"/>
  <c r="AX18" s="1"/>
  <c r="AZ18" s="1"/>
  <c r="D26"/>
  <c r="CO119" s="1"/>
  <c r="AS25"/>
  <c r="AR25"/>
  <c r="AQ25"/>
  <c r="AO25"/>
  <c r="AN25"/>
  <c r="AI25"/>
  <c r="AG25"/>
  <c r="AA25"/>
  <c r="Y25"/>
  <c r="AP52" s="1"/>
  <c r="T25"/>
  <c r="R25"/>
  <c r="AP40" s="1"/>
  <c r="M25"/>
  <c r="O10" s="1"/>
  <c r="K25"/>
  <c r="CP120" s="1"/>
  <c r="F25"/>
  <c r="D25"/>
  <c r="CP118" s="1"/>
  <c r="AS24"/>
  <c r="AR24"/>
  <c r="AQ24"/>
  <c r="AO24"/>
  <c r="AN24"/>
  <c r="AK24"/>
  <c r="AI24"/>
  <c r="AG24"/>
  <c r="AA24"/>
  <c r="AX52" s="1"/>
  <c r="Y24"/>
  <c r="AP51" s="1"/>
  <c r="T24"/>
  <c r="AV39" s="1"/>
  <c r="R24"/>
  <c r="CO122" s="1"/>
  <c r="M24"/>
  <c r="AY28" s="1"/>
  <c r="K24"/>
  <c r="AP27" s="1"/>
  <c r="F24"/>
  <c r="D24"/>
  <c r="CO118" s="1"/>
  <c r="AS23"/>
  <c r="AR23"/>
  <c r="AQ23"/>
  <c r="AO23"/>
  <c r="AN23"/>
  <c r="AK23"/>
  <c r="AI23"/>
  <c r="AG23"/>
  <c r="AA23"/>
  <c r="AC8" s="1"/>
  <c r="Y23"/>
  <c r="CP117" s="1"/>
  <c r="T23"/>
  <c r="R23"/>
  <c r="AP38" s="1"/>
  <c r="M23"/>
  <c r="K23"/>
  <c r="CP113" s="1"/>
  <c r="F23"/>
  <c r="D23"/>
  <c r="CP111" s="1"/>
  <c r="AV22"/>
  <c r="AS22"/>
  <c r="AR22"/>
  <c r="AQ22"/>
  <c r="AO22"/>
  <c r="AN22"/>
  <c r="AK22"/>
  <c r="AI22"/>
  <c r="AG22"/>
  <c r="AA22"/>
  <c r="AV50" s="1"/>
  <c r="Y22"/>
  <c r="CO117" s="1"/>
  <c r="T22"/>
  <c r="AX38" s="1"/>
  <c r="R22"/>
  <c r="CO115" s="1"/>
  <c r="M22"/>
  <c r="AX25" s="1"/>
  <c r="K22"/>
  <c r="CO113" s="1"/>
  <c r="F22"/>
  <c r="D22"/>
  <c r="CO111" s="1"/>
  <c r="AV21"/>
  <c r="AS21"/>
  <c r="AR21"/>
  <c r="AQ21"/>
  <c r="AO21"/>
  <c r="AN21"/>
  <c r="AK21"/>
  <c r="AI21"/>
  <c r="AG21"/>
  <c r="AA21"/>
  <c r="AV48" s="1"/>
  <c r="Y21"/>
  <c r="AP48" s="1"/>
  <c r="T21"/>
  <c r="R21"/>
  <c r="CP114" s="1"/>
  <c r="M21"/>
  <c r="AV24" s="1"/>
  <c r="K21"/>
  <c r="CP112" s="1"/>
  <c r="F21"/>
  <c r="D21"/>
  <c r="CP110" s="1"/>
  <c r="AV20"/>
  <c r="AS20"/>
  <c r="AR20"/>
  <c r="AQ20"/>
  <c r="AO20"/>
  <c r="AN20"/>
  <c r="AI20"/>
  <c r="AG20"/>
  <c r="AA20"/>
  <c r="AX47" s="1"/>
  <c r="Y20"/>
  <c r="AP47" s="1"/>
  <c r="T20"/>
  <c r="AY36" s="1"/>
  <c r="R20"/>
  <c r="M20"/>
  <c r="AX24" s="1"/>
  <c r="K20"/>
  <c r="CO112" s="1"/>
  <c r="F20"/>
  <c r="D20"/>
  <c r="CO110" s="1"/>
  <c r="AY19"/>
  <c r="AU19"/>
  <c r="AS19"/>
  <c r="AR19"/>
  <c r="AQ19"/>
  <c r="AO19"/>
  <c r="AN19"/>
  <c r="AK19"/>
  <c r="AI19"/>
  <c r="AG19"/>
  <c r="AA19"/>
  <c r="AC9" s="1"/>
  <c r="Y19"/>
  <c r="AP46" s="1"/>
  <c r="T19"/>
  <c r="R19"/>
  <c r="CP107" s="1"/>
  <c r="M19"/>
  <c r="K19"/>
  <c r="AP22" s="1"/>
  <c r="F19"/>
  <c r="D19"/>
  <c r="CP103" s="1"/>
  <c r="AY18"/>
  <c r="AV18"/>
  <c r="AU18"/>
  <c r="AW18" s="1"/>
  <c r="AS18"/>
  <c r="AR18"/>
  <c r="AQ18"/>
  <c r="AO18"/>
  <c r="AN18"/>
  <c r="AK18"/>
  <c r="AI18"/>
  <c r="AG18"/>
  <c r="AA18"/>
  <c r="AY46" s="1"/>
  <c r="Y18"/>
  <c r="CO109" s="1"/>
  <c r="T18"/>
  <c r="AY34" s="1"/>
  <c r="R18"/>
  <c r="CO107" s="1"/>
  <c r="M18"/>
  <c r="AX22" s="1"/>
  <c r="K18"/>
  <c r="CO105" s="1"/>
  <c r="F18"/>
  <c r="D18"/>
  <c r="CO103" s="1"/>
  <c r="BB131" s="1"/>
  <c r="AY17"/>
  <c r="AV17"/>
  <c r="AU17"/>
  <c r="AW17" s="1"/>
  <c r="AS17"/>
  <c r="AR17"/>
  <c r="AQ17"/>
  <c r="AO17"/>
  <c r="AN17"/>
  <c r="AK17"/>
  <c r="AI17"/>
  <c r="AG17"/>
  <c r="AA17"/>
  <c r="AC10" s="1"/>
  <c r="Y17"/>
  <c r="CP108" s="1"/>
  <c r="T17"/>
  <c r="R17"/>
  <c r="CP106" s="1"/>
  <c r="M17"/>
  <c r="K17"/>
  <c r="AP20" s="1"/>
  <c r="F17"/>
  <c r="D17"/>
  <c r="CP102" s="1"/>
  <c r="AY16"/>
  <c r="AZ16" s="1"/>
  <c r="AX16"/>
  <c r="AV16"/>
  <c r="AU16"/>
  <c r="AW16" s="1"/>
  <c r="AT16"/>
  <c r="AS16"/>
  <c r="AR16"/>
  <c r="AQ16"/>
  <c r="AO16"/>
  <c r="AN16"/>
  <c r="AK16"/>
  <c r="AI16"/>
  <c r="AG16"/>
  <c r="AA16"/>
  <c r="AV43" s="1"/>
  <c r="Y16"/>
  <c r="CO108" s="1"/>
  <c r="T16"/>
  <c r="AY32" s="1"/>
  <c r="R16"/>
  <c r="CO106" s="1"/>
  <c r="M16"/>
  <c r="AV19" s="1"/>
  <c r="K16"/>
  <c r="CO104" s="1"/>
  <c r="F16"/>
  <c r="D16"/>
  <c r="CO102" s="1"/>
  <c r="BB105" s="1"/>
  <c r="AY15"/>
  <c r="AZ15" s="1"/>
  <c r="AX15"/>
  <c r="AV15"/>
  <c r="AU15"/>
  <c r="AW15" s="1"/>
  <c r="AT15"/>
  <c r="AS15"/>
  <c r="AR15"/>
  <c r="AQ15"/>
  <c r="AO15"/>
  <c r="AN15"/>
  <c r="AI15"/>
  <c r="AG15"/>
  <c r="AY14"/>
  <c r="AX14"/>
  <c r="AZ14" s="1"/>
  <c r="AV14"/>
  <c r="AU14"/>
  <c r="AW14" s="1"/>
  <c r="AT14"/>
  <c r="AS14"/>
  <c r="AR14"/>
  <c r="AQ14"/>
  <c r="AP14"/>
  <c r="AO14"/>
  <c r="AN14"/>
  <c r="AK14"/>
  <c r="AI14"/>
  <c r="AG14"/>
  <c r="AY13"/>
  <c r="AX13"/>
  <c r="AZ13" s="1"/>
  <c r="AV13"/>
  <c r="AU13"/>
  <c r="AW13" s="1"/>
  <c r="AT13"/>
  <c r="AS13"/>
  <c r="AR13"/>
  <c r="AQ13"/>
  <c r="AP13"/>
  <c r="AO13"/>
  <c r="AN13"/>
  <c r="AK13"/>
  <c r="AI13"/>
  <c r="AG13"/>
  <c r="AY12"/>
  <c r="AX12"/>
  <c r="AZ12" s="1"/>
  <c r="AV12"/>
  <c r="AU12"/>
  <c r="AW12" s="1"/>
  <c r="AT12"/>
  <c r="AS12"/>
  <c r="AR12"/>
  <c r="AQ12"/>
  <c r="AO12"/>
  <c r="AN12"/>
  <c r="AK12"/>
  <c r="AI12"/>
  <c r="AG12"/>
  <c r="AY11"/>
  <c r="AX11"/>
  <c r="AZ11" s="1"/>
  <c r="AV11"/>
  <c r="AU11"/>
  <c r="AW11" s="1"/>
  <c r="AT11"/>
  <c r="AS11"/>
  <c r="AR11"/>
  <c r="AQ11"/>
  <c r="AP11"/>
  <c r="AO11"/>
  <c r="AN11"/>
  <c r="AK11"/>
  <c r="AI11"/>
  <c r="AG11"/>
  <c r="AY10"/>
  <c r="AX10"/>
  <c r="AZ10" s="1"/>
  <c r="AV10"/>
  <c r="AU10"/>
  <c r="AW10" s="1"/>
  <c r="AT10"/>
  <c r="AS10"/>
  <c r="AR10"/>
  <c r="AQ10"/>
  <c r="AP10"/>
  <c r="AO10"/>
  <c r="AN10"/>
  <c r="AI10"/>
  <c r="AG10"/>
  <c r="V10"/>
  <c r="H10"/>
  <c r="AY9"/>
  <c r="AX9"/>
  <c r="AZ9" s="1"/>
  <c r="AW9"/>
  <c r="AV9"/>
  <c r="AU9"/>
  <c r="AT9"/>
  <c r="AS9"/>
  <c r="AR9"/>
  <c r="AQ9"/>
  <c r="AP9"/>
  <c r="AO9"/>
  <c r="AN9"/>
  <c r="V9"/>
  <c r="O9"/>
  <c r="H9"/>
  <c r="AY8"/>
  <c r="AX8"/>
  <c r="AZ8" s="1"/>
  <c r="AV8"/>
  <c r="AU8"/>
  <c r="AW8" s="1"/>
  <c r="AT8"/>
  <c r="AS8"/>
  <c r="AR8"/>
  <c r="AQ8"/>
  <c r="AP8"/>
  <c r="AO8"/>
  <c r="AN8"/>
  <c r="V8"/>
  <c r="R15" s="1"/>
  <c r="I94" s="1"/>
  <c r="CO143" s="1"/>
  <c r="H8"/>
  <c r="AY7"/>
  <c r="AZ7" s="1"/>
  <c r="AX7"/>
  <c r="AV7"/>
  <c r="AU7"/>
  <c r="AW7" s="1"/>
  <c r="AT7"/>
  <c r="AS7"/>
  <c r="AR7"/>
  <c r="AQ7"/>
  <c r="AP7"/>
  <c r="AO7"/>
  <c r="AN7"/>
  <c r="AC7"/>
  <c r="V7"/>
  <c r="H7"/>
  <c r="D15" s="1"/>
  <c r="I86" s="1"/>
  <c r="CO142" s="1"/>
  <c r="I35" i="95" l="1"/>
  <c r="I54" s="1"/>
  <c r="CP134" s="1"/>
  <c r="I39"/>
  <c r="P52"/>
  <c r="P74"/>
  <c r="Y70" s="1"/>
  <c r="Y71" s="1"/>
  <c r="P92"/>
  <c r="Y88" s="1"/>
  <c r="Y89" s="1"/>
  <c r="P56"/>
  <c r="Y52" s="1"/>
  <c r="Y53" s="1"/>
  <c r="P41" i="94"/>
  <c r="P33"/>
  <c r="P74"/>
  <c r="Y70" s="1"/>
  <c r="Y71" s="1"/>
  <c r="P92"/>
  <c r="Y88" s="1"/>
  <c r="Y89" s="1"/>
  <c r="P37" i="93"/>
  <c r="Y33" s="1"/>
  <c r="Y34" s="1"/>
  <c r="P52"/>
  <c r="CO137" s="1"/>
  <c r="I35"/>
  <c r="P41"/>
  <c r="P74"/>
  <c r="Y70" s="1"/>
  <c r="Y71" s="1"/>
  <c r="P92"/>
  <c r="Y88" s="1"/>
  <c r="Y89" s="1"/>
  <c r="P96"/>
  <c r="I31"/>
  <c r="P60"/>
  <c r="AP12"/>
  <c r="BB133"/>
  <c r="AP54" i="94"/>
  <c r="AP34"/>
  <c r="AP36"/>
  <c r="CP115"/>
  <c r="CP123"/>
  <c r="AP31"/>
  <c r="CO121"/>
  <c r="CO120"/>
  <c r="AP30"/>
  <c r="AP12"/>
  <c r="BB133"/>
  <c r="AP9"/>
  <c r="CO133" i="95"/>
  <c r="P35"/>
  <c r="CO132" s="1"/>
  <c r="CP133"/>
  <c r="P39"/>
  <c r="CP132" s="1"/>
  <c r="CP131"/>
  <c r="I62"/>
  <c r="CP135" s="1"/>
  <c r="CP137"/>
  <c r="P58"/>
  <c r="CP136" s="1"/>
  <c r="CO141"/>
  <c r="P72"/>
  <c r="CO140" s="1"/>
  <c r="P76"/>
  <c r="CP140" s="1"/>
  <c r="CP141"/>
  <c r="CO145"/>
  <c r="P90"/>
  <c r="CO144" s="1"/>
  <c r="CP145"/>
  <c r="P94"/>
  <c r="CP144" s="1"/>
  <c r="CO130"/>
  <c r="I50"/>
  <c r="CO134" s="1"/>
  <c r="CP130"/>
  <c r="I58"/>
  <c r="CO135" s="1"/>
  <c r="CO131"/>
  <c r="CO137"/>
  <c r="P54"/>
  <c r="CO136" s="1"/>
  <c r="BB133"/>
  <c r="K12"/>
  <c r="C38" s="1"/>
  <c r="CO128" s="1"/>
  <c r="K13"/>
  <c r="C32" s="1"/>
  <c r="CP126" s="1"/>
  <c r="K14"/>
  <c r="I72" s="1"/>
  <c r="CP138" s="1"/>
  <c r="AU19"/>
  <c r="AW19" s="1"/>
  <c r="AY19"/>
  <c r="AV20"/>
  <c r="AV21"/>
  <c r="AV22"/>
  <c r="AV23"/>
  <c r="AV24"/>
  <c r="AV26"/>
  <c r="AU27"/>
  <c r="AY27"/>
  <c r="AP28"/>
  <c r="AT28"/>
  <c r="AX28"/>
  <c r="AZ28" s="1"/>
  <c r="AP30"/>
  <c r="AT30"/>
  <c r="AX30"/>
  <c r="AZ30" s="1"/>
  <c r="AP31"/>
  <c r="AT31"/>
  <c r="AX31"/>
  <c r="AP32"/>
  <c r="AT32"/>
  <c r="AX32"/>
  <c r="AZ32" s="1"/>
  <c r="AP33"/>
  <c r="AT33"/>
  <c r="AX33"/>
  <c r="AP34"/>
  <c r="AT34"/>
  <c r="AX34"/>
  <c r="AZ34" s="1"/>
  <c r="AP36"/>
  <c r="AT36"/>
  <c r="AX36"/>
  <c r="AZ36" s="1"/>
  <c r="AU37"/>
  <c r="AW37" s="1"/>
  <c r="AY37"/>
  <c r="AV38"/>
  <c r="AU39"/>
  <c r="AW39" s="1"/>
  <c r="AY39"/>
  <c r="AV40"/>
  <c r="AP42"/>
  <c r="AT42"/>
  <c r="AX42"/>
  <c r="AZ42" s="1"/>
  <c r="AU43"/>
  <c r="AW43" s="1"/>
  <c r="AY43"/>
  <c r="AV44"/>
  <c r="AU45"/>
  <c r="AY45"/>
  <c r="AP46"/>
  <c r="AT46"/>
  <c r="AX46"/>
  <c r="AZ46" s="1"/>
  <c r="AV48"/>
  <c r="AU49"/>
  <c r="AY49"/>
  <c r="AU50"/>
  <c r="AW50" s="1"/>
  <c r="AY50"/>
  <c r="AU53"/>
  <c r="AY53"/>
  <c r="AP54"/>
  <c r="AT54"/>
  <c r="AX54"/>
  <c r="AZ54" s="1"/>
  <c r="BB105"/>
  <c r="CO108"/>
  <c r="CO114"/>
  <c r="CP115"/>
  <c r="CP116"/>
  <c r="CO120"/>
  <c r="CO121"/>
  <c r="CP122"/>
  <c r="BB131"/>
  <c r="D12"/>
  <c r="C30" s="1"/>
  <c r="CO126" s="1"/>
  <c r="D13"/>
  <c r="C40" s="1"/>
  <c r="CP128" s="1"/>
  <c r="D14"/>
  <c r="I68" s="1"/>
  <c r="CO138" s="1"/>
  <c r="AP19"/>
  <c r="AT19"/>
  <c r="AX19"/>
  <c r="AZ19" s="1"/>
  <c r="AU20"/>
  <c r="AW20" s="1"/>
  <c r="AY20"/>
  <c r="AU21"/>
  <c r="AW21" s="1"/>
  <c r="AY21"/>
  <c r="AU22"/>
  <c r="AW22" s="1"/>
  <c r="AY22"/>
  <c r="AZ22" s="1"/>
  <c r="AU23"/>
  <c r="AW23" s="1"/>
  <c r="AY23"/>
  <c r="AU24"/>
  <c r="AW24" s="1"/>
  <c r="AY24"/>
  <c r="AZ24" s="1"/>
  <c r="AV25"/>
  <c r="AU26"/>
  <c r="AW26" s="1"/>
  <c r="AY26"/>
  <c r="AT27"/>
  <c r="AX27"/>
  <c r="AZ27" s="1"/>
  <c r="AV29"/>
  <c r="AV35"/>
  <c r="AP37"/>
  <c r="AT37"/>
  <c r="AX37"/>
  <c r="AZ37" s="1"/>
  <c r="AU38"/>
  <c r="AW38" s="1"/>
  <c r="AY38"/>
  <c r="AP39"/>
  <c r="AT39"/>
  <c r="AX39"/>
  <c r="AZ39" s="1"/>
  <c r="AU40"/>
  <c r="AW40" s="1"/>
  <c r="AY40"/>
  <c r="AV41"/>
  <c r="AT43"/>
  <c r="AX43"/>
  <c r="AZ43" s="1"/>
  <c r="AU44"/>
  <c r="AW44" s="1"/>
  <c r="AY44"/>
  <c r="AP45"/>
  <c r="AT45"/>
  <c r="AX45"/>
  <c r="AZ45" s="1"/>
  <c r="AV47"/>
  <c r="AU48"/>
  <c r="AW48" s="1"/>
  <c r="AY48"/>
  <c r="AP49"/>
  <c r="AT49"/>
  <c r="AX49"/>
  <c r="AZ49" s="1"/>
  <c r="AP50"/>
  <c r="AT50"/>
  <c r="AX50"/>
  <c r="AZ50" s="1"/>
  <c r="AV51"/>
  <c r="AV52"/>
  <c r="AP53"/>
  <c r="AT53"/>
  <c r="AX53"/>
  <c r="AZ53" s="1"/>
  <c r="CP104"/>
  <c r="CP105"/>
  <c r="BB107"/>
  <c r="CO116"/>
  <c r="CO123"/>
  <c r="CP124"/>
  <c r="Y12"/>
  <c r="C44" s="1"/>
  <c r="CP129" s="1"/>
  <c r="Y13"/>
  <c r="C34" s="1"/>
  <c r="CO127" s="1"/>
  <c r="Y14"/>
  <c r="I80" s="1"/>
  <c r="CP139" s="1"/>
  <c r="AT20"/>
  <c r="AX20"/>
  <c r="AZ20" s="1"/>
  <c r="AP21"/>
  <c r="AT21"/>
  <c r="AX21"/>
  <c r="AZ21" s="1"/>
  <c r="AT22"/>
  <c r="AP23"/>
  <c r="AT23"/>
  <c r="AX23"/>
  <c r="AZ23" s="1"/>
  <c r="AP24"/>
  <c r="AT24"/>
  <c r="AU25"/>
  <c r="AW25" s="1"/>
  <c r="AY25"/>
  <c r="AZ25" s="1"/>
  <c r="AP26"/>
  <c r="AT26"/>
  <c r="AX26"/>
  <c r="AZ26" s="1"/>
  <c r="AV28"/>
  <c r="AU29"/>
  <c r="AW29" s="1"/>
  <c r="AY29"/>
  <c r="AV30"/>
  <c r="AV31"/>
  <c r="AV32"/>
  <c r="AV33"/>
  <c r="AV34"/>
  <c r="AU35"/>
  <c r="AW35" s="1"/>
  <c r="AY35"/>
  <c r="AV36"/>
  <c r="AT38"/>
  <c r="AX38"/>
  <c r="AZ38" s="1"/>
  <c r="AT40"/>
  <c r="AX40"/>
  <c r="AZ40" s="1"/>
  <c r="AU41"/>
  <c r="AW41" s="1"/>
  <c r="AY41"/>
  <c r="AV42"/>
  <c r="AP44"/>
  <c r="AT44"/>
  <c r="AX44"/>
  <c r="AZ44" s="1"/>
  <c r="AV46"/>
  <c r="AU47"/>
  <c r="AW47" s="1"/>
  <c r="AY47"/>
  <c r="AZ47" s="1"/>
  <c r="AT48"/>
  <c r="AX48"/>
  <c r="AZ48" s="1"/>
  <c r="AU51"/>
  <c r="AW51" s="1"/>
  <c r="AY51"/>
  <c r="AU52"/>
  <c r="AW52" s="1"/>
  <c r="AY52"/>
  <c r="AZ52" s="1"/>
  <c r="AV54"/>
  <c r="CO124"/>
  <c r="R12"/>
  <c r="C36" s="1"/>
  <c r="CP127" s="1"/>
  <c r="R13"/>
  <c r="C42" s="1"/>
  <c r="CO129" s="1"/>
  <c r="R14"/>
  <c r="I76" s="1"/>
  <c r="CO139" s="1"/>
  <c r="AP25"/>
  <c r="AT25"/>
  <c r="AV27"/>
  <c r="AU28"/>
  <c r="AW28" s="1"/>
  <c r="AT29"/>
  <c r="AX29"/>
  <c r="AZ29" s="1"/>
  <c r="AU30"/>
  <c r="AW30" s="1"/>
  <c r="AU31"/>
  <c r="AW31" s="1"/>
  <c r="AY31"/>
  <c r="AU32"/>
  <c r="AW32" s="1"/>
  <c r="AU33"/>
  <c r="AW33" s="1"/>
  <c r="AY33"/>
  <c r="AU34"/>
  <c r="AW34" s="1"/>
  <c r="AT35"/>
  <c r="AX35"/>
  <c r="AZ35" s="1"/>
  <c r="AU36"/>
  <c r="AW36" s="1"/>
  <c r="AT41"/>
  <c r="AX41"/>
  <c r="AZ41" s="1"/>
  <c r="AU42"/>
  <c r="AW42" s="1"/>
  <c r="AV45"/>
  <c r="AU46"/>
  <c r="AW46" s="1"/>
  <c r="AT47"/>
  <c r="AV49"/>
  <c r="AT51"/>
  <c r="AX51"/>
  <c r="AZ51" s="1"/>
  <c r="AT52"/>
  <c r="AV53"/>
  <c r="AU54"/>
  <c r="AW54" s="1"/>
  <c r="CO130" i="94"/>
  <c r="I50"/>
  <c r="CO134" s="1"/>
  <c r="CO133"/>
  <c r="P35"/>
  <c r="CO132" s="1"/>
  <c r="CP131"/>
  <c r="I62"/>
  <c r="CP135" s="1"/>
  <c r="AW19"/>
  <c r="AZ42"/>
  <c r="I54"/>
  <c r="CP134" s="1"/>
  <c r="CP130"/>
  <c r="I58"/>
  <c r="CO135" s="1"/>
  <c r="CO131"/>
  <c r="BB144"/>
  <c r="BB139"/>
  <c r="BB149"/>
  <c r="AW39"/>
  <c r="AZ46"/>
  <c r="AZ30"/>
  <c r="AZ34"/>
  <c r="AZ36"/>
  <c r="AW43"/>
  <c r="BB142"/>
  <c r="BB137"/>
  <c r="BB147"/>
  <c r="CP133"/>
  <c r="P39"/>
  <c r="CP132" s="1"/>
  <c r="CP137"/>
  <c r="P58"/>
  <c r="CP136" s="1"/>
  <c r="CO141"/>
  <c r="P72"/>
  <c r="CO140" s="1"/>
  <c r="P76"/>
  <c r="CP140" s="1"/>
  <c r="CP141"/>
  <c r="CO145"/>
  <c r="P90"/>
  <c r="CO144" s="1"/>
  <c r="CP145"/>
  <c r="P94"/>
  <c r="CP144" s="1"/>
  <c r="AV23"/>
  <c r="AY50"/>
  <c r="AU53"/>
  <c r="CO108"/>
  <c r="CP109"/>
  <c r="BB111"/>
  <c r="D12"/>
  <c r="C30" s="1"/>
  <c r="CO126" s="1"/>
  <c r="D13"/>
  <c r="C40" s="1"/>
  <c r="CP128" s="1"/>
  <c r="D14"/>
  <c r="I68" s="1"/>
  <c r="CO138" s="1"/>
  <c r="AP17"/>
  <c r="AP19"/>
  <c r="AT19"/>
  <c r="AX19"/>
  <c r="AZ19" s="1"/>
  <c r="AU20"/>
  <c r="AW20" s="1"/>
  <c r="AY20"/>
  <c r="AU21"/>
  <c r="AW21" s="1"/>
  <c r="AY21"/>
  <c r="AU22"/>
  <c r="AW22" s="1"/>
  <c r="AY22"/>
  <c r="AZ22" s="1"/>
  <c r="AU23"/>
  <c r="AY23"/>
  <c r="AU24"/>
  <c r="AW24" s="1"/>
  <c r="AY24"/>
  <c r="AZ24" s="1"/>
  <c r="AV25"/>
  <c r="AU26"/>
  <c r="AY26"/>
  <c r="AT27"/>
  <c r="AX27"/>
  <c r="AV29"/>
  <c r="AV35"/>
  <c r="AP37"/>
  <c r="AT37"/>
  <c r="AX37"/>
  <c r="AZ37" s="1"/>
  <c r="AU38"/>
  <c r="AW38" s="1"/>
  <c r="AY38"/>
  <c r="AP39"/>
  <c r="AT39"/>
  <c r="AX39"/>
  <c r="AZ39" s="1"/>
  <c r="AU40"/>
  <c r="AW40" s="1"/>
  <c r="AY40"/>
  <c r="AV41"/>
  <c r="AT43"/>
  <c r="AX43"/>
  <c r="AZ43" s="1"/>
  <c r="AU44"/>
  <c r="AW44" s="1"/>
  <c r="AY44"/>
  <c r="AP45"/>
  <c r="AT45"/>
  <c r="AX45"/>
  <c r="AZ45" s="1"/>
  <c r="AV47"/>
  <c r="AU48"/>
  <c r="AW48" s="1"/>
  <c r="AY48"/>
  <c r="AP49"/>
  <c r="AT49"/>
  <c r="AX49"/>
  <c r="AP50"/>
  <c r="AT50"/>
  <c r="AX50"/>
  <c r="AZ50" s="1"/>
  <c r="AV51"/>
  <c r="AV52"/>
  <c r="AP53"/>
  <c r="AT53"/>
  <c r="AX53"/>
  <c r="CP104"/>
  <c r="CP105"/>
  <c r="BB107"/>
  <c r="CO116"/>
  <c r="CO123"/>
  <c r="CP124"/>
  <c r="AV26"/>
  <c r="AU27"/>
  <c r="AY27"/>
  <c r="AT28"/>
  <c r="AX28"/>
  <c r="AZ28" s="1"/>
  <c r="AU49"/>
  <c r="AY49"/>
  <c r="AU50"/>
  <c r="AW50" s="1"/>
  <c r="AY53"/>
  <c r="AX54"/>
  <c r="AZ54" s="1"/>
  <c r="O7"/>
  <c r="AC9"/>
  <c r="Y15" s="1"/>
  <c r="I98" s="1"/>
  <c r="CP143" s="1"/>
  <c r="Y12"/>
  <c r="C44" s="1"/>
  <c r="CP129" s="1"/>
  <c r="Y13"/>
  <c r="C34" s="1"/>
  <c r="CO127" s="1"/>
  <c r="Y14"/>
  <c r="I80" s="1"/>
  <c r="CP139" s="1"/>
  <c r="AT20"/>
  <c r="AX20"/>
  <c r="AZ20" s="1"/>
  <c r="AP21"/>
  <c r="AT21"/>
  <c r="AX21"/>
  <c r="AZ21" s="1"/>
  <c r="AT22"/>
  <c r="AP23"/>
  <c r="AT23"/>
  <c r="AX23"/>
  <c r="AZ23" s="1"/>
  <c r="AP24"/>
  <c r="AT24"/>
  <c r="AU25"/>
  <c r="AW25" s="1"/>
  <c r="AY25"/>
  <c r="AZ25" s="1"/>
  <c r="AP26"/>
  <c r="AT26"/>
  <c r="AX26"/>
  <c r="AZ26" s="1"/>
  <c r="AV28"/>
  <c r="AU29"/>
  <c r="AW29" s="1"/>
  <c r="AY29"/>
  <c r="AV30"/>
  <c r="AV31"/>
  <c r="AV32"/>
  <c r="AV33"/>
  <c r="AV34"/>
  <c r="AU35"/>
  <c r="AW35" s="1"/>
  <c r="AY35"/>
  <c r="AV36"/>
  <c r="AT38"/>
  <c r="AX38"/>
  <c r="AZ38" s="1"/>
  <c r="AT40"/>
  <c r="AX40"/>
  <c r="AZ40" s="1"/>
  <c r="AU41"/>
  <c r="AW41" s="1"/>
  <c r="AY41"/>
  <c r="AV42"/>
  <c r="AP44"/>
  <c r="AT44"/>
  <c r="AX44"/>
  <c r="AZ44" s="1"/>
  <c r="AV46"/>
  <c r="AU47"/>
  <c r="AW47" s="1"/>
  <c r="AY47"/>
  <c r="AZ47" s="1"/>
  <c r="AT48"/>
  <c r="AX48"/>
  <c r="AZ48" s="1"/>
  <c r="AU51"/>
  <c r="AW51" s="1"/>
  <c r="AY51"/>
  <c r="AU52"/>
  <c r="AW52" s="1"/>
  <c r="AY52"/>
  <c r="AZ52" s="1"/>
  <c r="AV54"/>
  <c r="BB121"/>
  <c r="CO124"/>
  <c r="CO137"/>
  <c r="R12"/>
  <c r="C36" s="1"/>
  <c r="CP127" s="1"/>
  <c r="R13"/>
  <c r="C42" s="1"/>
  <c r="CO129" s="1"/>
  <c r="R14"/>
  <c r="I76" s="1"/>
  <c r="CO139" s="1"/>
  <c r="AP25"/>
  <c r="AT25"/>
  <c r="AV27"/>
  <c r="AU28"/>
  <c r="AW28" s="1"/>
  <c r="AT29"/>
  <c r="AX29"/>
  <c r="AZ29" s="1"/>
  <c r="AU30"/>
  <c r="AW30" s="1"/>
  <c r="AU31"/>
  <c r="AW31" s="1"/>
  <c r="AY31"/>
  <c r="AZ31" s="1"/>
  <c r="AU32"/>
  <c r="AW32" s="1"/>
  <c r="AU33"/>
  <c r="AW33" s="1"/>
  <c r="AY33"/>
  <c r="AZ33" s="1"/>
  <c r="AU34"/>
  <c r="AW34" s="1"/>
  <c r="AT35"/>
  <c r="AX35"/>
  <c r="AZ35" s="1"/>
  <c r="AU36"/>
  <c r="AW36" s="1"/>
  <c r="AT41"/>
  <c r="AX41"/>
  <c r="AZ41" s="1"/>
  <c r="AU42"/>
  <c r="AW42" s="1"/>
  <c r="AV45"/>
  <c r="AW45" s="1"/>
  <c r="AU46"/>
  <c r="AW46" s="1"/>
  <c r="AT47"/>
  <c r="AV49"/>
  <c r="AT51"/>
  <c r="AX51"/>
  <c r="AZ51" s="1"/>
  <c r="AT52"/>
  <c r="AV53"/>
  <c r="AU54"/>
  <c r="AW54" s="1"/>
  <c r="AP54" i="93"/>
  <c r="CP116"/>
  <c r="AP33"/>
  <c r="AP34"/>
  <c r="AP31"/>
  <c r="AP36"/>
  <c r="CP115"/>
  <c r="AP42"/>
  <c r="AP25"/>
  <c r="CO120"/>
  <c r="AP29"/>
  <c r="AP30"/>
  <c r="CP137"/>
  <c r="P58"/>
  <c r="CP136" s="1"/>
  <c r="BB116"/>
  <c r="BB121"/>
  <c r="BB111"/>
  <c r="AW39"/>
  <c r="BB142"/>
  <c r="BB137"/>
  <c r="BB147"/>
  <c r="CP131"/>
  <c r="I62"/>
  <c r="CP135" s="1"/>
  <c r="AW19"/>
  <c r="AZ42"/>
  <c r="CO133"/>
  <c r="P35"/>
  <c r="CO132" s="1"/>
  <c r="CP133"/>
  <c r="P39"/>
  <c r="CP132" s="1"/>
  <c r="P76"/>
  <c r="CP140" s="1"/>
  <c r="CP141"/>
  <c r="CO145"/>
  <c r="P90"/>
  <c r="CO144" s="1"/>
  <c r="BB144"/>
  <c r="BB139"/>
  <c r="BB149"/>
  <c r="AW43"/>
  <c r="CO130"/>
  <c r="I50"/>
  <c r="CO134" s="1"/>
  <c r="I54"/>
  <c r="CP134" s="1"/>
  <c r="CP130"/>
  <c r="CP145"/>
  <c r="P94"/>
  <c r="CP144" s="1"/>
  <c r="Y15"/>
  <c r="I98" s="1"/>
  <c r="CP143" s="1"/>
  <c r="AZ32"/>
  <c r="AZ34"/>
  <c r="AV26"/>
  <c r="AX28"/>
  <c r="AZ28" s="1"/>
  <c r="AX30"/>
  <c r="AZ30" s="1"/>
  <c r="AU50"/>
  <c r="AW50" s="1"/>
  <c r="AT54"/>
  <c r="AX54"/>
  <c r="AZ54" s="1"/>
  <c r="CP109"/>
  <c r="O8"/>
  <c r="D12"/>
  <c r="C30" s="1"/>
  <c r="CO126" s="1"/>
  <c r="D13"/>
  <c r="C40" s="1"/>
  <c r="CP128" s="1"/>
  <c r="D14"/>
  <c r="I68" s="1"/>
  <c r="CO138" s="1"/>
  <c r="AP15"/>
  <c r="AP16"/>
  <c r="AP17"/>
  <c r="AT17"/>
  <c r="AX17"/>
  <c r="AZ17" s="1"/>
  <c r="AP18"/>
  <c r="AT18"/>
  <c r="AP19"/>
  <c r="AT19"/>
  <c r="AX19"/>
  <c r="AZ19" s="1"/>
  <c r="AU20"/>
  <c r="AW20" s="1"/>
  <c r="AY20"/>
  <c r="AU21"/>
  <c r="AW21" s="1"/>
  <c r="AY21"/>
  <c r="AU22"/>
  <c r="AW22" s="1"/>
  <c r="AY22"/>
  <c r="AZ22" s="1"/>
  <c r="AU23"/>
  <c r="AY23"/>
  <c r="AU24"/>
  <c r="AW24" s="1"/>
  <c r="AY24"/>
  <c r="AZ24" s="1"/>
  <c r="AV25"/>
  <c r="AU26"/>
  <c r="AW26" s="1"/>
  <c r="AY26"/>
  <c r="AT27"/>
  <c r="AX27"/>
  <c r="AV29"/>
  <c r="AV35"/>
  <c r="AP37"/>
  <c r="AT37"/>
  <c r="AX37"/>
  <c r="AZ37" s="1"/>
  <c r="AU38"/>
  <c r="AW38" s="1"/>
  <c r="AY38"/>
  <c r="AZ38" s="1"/>
  <c r="AP39"/>
  <c r="AT39"/>
  <c r="AX39"/>
  <c r="AZ39" s="1"/>
  <c r="AU40"/>
  <c r="AW40" s="1"/>
  <c r="AY40"/>
  <c r="AV41"/>
  <c r="AP43"/>
  <c r="AT43"/>
  <c r="AX43"/>
  <c r="AZ43" s="1"/>
  <c r="AU44"/>
  <c r="AW44" s="1"/>
  <c r="AY44"/>
  <c r="AP45"/>
  <c r="AT45"/>
  <c r="AX45"/>
  <c r="AZ45" s="1"/>
  <c r="AV47"/>
  <c r="AU48"/>
  <c r="AW48" s="1"/>
  <c r="AY48"/>
  <c r="AP49"/>
  <c r="AT49"/>
  <c r="AX49"/>
  <c r="AZ49" s="1"/>
  <c r="AP50"/>
  <c r="AT50"/>
  <c r="AX50"/>
  <c r="AV51"/>
  <c r="AV52"/>
  <c r="AP53"/>
  <c r="AT53"/>
  <c r="AX53"/>
  <c r="AZ53" s="1"/>
  <c r="P72"/>
  <c r="CO140" s="1"/>
  <c r="CP104"/>
  <c r="CP105"/>
  <c r="BB107"/>
  <c r="CO116"/>
  <c r="CO123"/>
  <c r="CP124"/>
  <c r="AV23"/>
  <c r="AU27"/>
  <c r="AY27"/>
  <c r="AT28"/>
  <c r="AT30"/>
  <c r="AU49"/>
  <c r="AY49"/>
  <c r="AY50"/>
  <c r="AU53"/>
  <c r="P54"/>
  <c r="CO136" s="1"/>
  <c r="O7"/>
  <c r="Y12"/>
  <c r="C44" s="1"/>
  <c r="CP129" s="1"/>
  <c r="Y13"/>
  <c r="C34" s="1"/>
  <c r="CO127" s="1"/>
  <c r="Y14"/>
  <c r="I80" s="1"/>
  <c r="CP139" s="1"/>
  <c r="AT20"/>
  <c r="AX20"/>
  <c r="AZ20" s="1"/>
  <c r="AP21"/>
  <c r="AT21"/>
  <c r="AX21"/>
  <c r="AZ21" s="1"/>
  <c r="AT22"/>
  <c r="AP23"/>
  <c r="AT23"/>
  <c r="AX23"/>
  <c r="AZ23" s="1"/>
  <c r="AP24"/>
  <c r="AT24"/>
  <c r="AU25"/>
  <c r="AW25" s="1"/>
  <c r="AY25"/>
  <c r="AZ25" s="1"/>
  <c r="AP26"/>
  <c r="AT26"/>
  <c r="AX26"/>
  <c r="AZ26" s="1"/>
  <c r="AV28"/>
  <c r="AU29"/>
  <c r="AW29" s="1"/>
  <c r="AY29"/>
  <c r="AV31"/>
  <c r="AV32"/>
  <c r="AV33"/>
  <c r="AW33" s="1"/>
  <c r="AV34"/>
  <c r="AU35"/>
  <c r="AW35" s="1"/>
  <c r="AY35"/>
  <c r="AZ35" s="1"/>
  <c r="AV36"/>
  <c r="AT38"/>
  <c r="AT40"/>
  <c r="AX40"/>
  <c r="AZ40" s="1"/>
  <c r="AU41"/>
  <c r="AW41" s="1"/>
  <c r="AY41"/>
  <c r="AV42"/>
  <c r="AP44"/>
  <c r="AT44"/>
  <c r="AX44"/>
  <c r="AZ44" s="1"/>
  <c r="AV46"/>
  <c r="AU47"/>
  <c r="AW47" s="1"/>
  <c r="AY47"/>
  <c r="AZ47" s="1"/>
  <c r="AT48"/>
  <c r="AX48"/>
  <c r="AZ48" s="1"/>
  <c r="AU51"/>
  <c r="AW51" s="1"/>
  <c r="AY51"/>
  <c r="AU52"/>
  <c r="AW52" s="1"/>
  <c r="AY52"/>
  <c r="AZ52" s="1"/>
  <c r="AV54"/>
  <c r="CO124"/>
  <c r="CO131"/>
  <c r="R12"/>
  <c r="C36" s="1"/>
  <c r="CP127" s="1"/>
  <c r="R13"/>
  <c r="C42" s="1"/>
  <c r="CO129" s="1"/>
  <c r="R14"/>
  <c r="I76" s="1"/>
  <c r="CO139" s="1"/>
  <c r="AT25"/>
  <c r="AV27"/>
  <c r="AU28"/>
  <c r="AW28" s="1"/>
  <c r="AT29"/>
  <c r="AX29"/>
  <c r="AZ29" s="1"/>
  <c r="AU30"/>
  <c r="AW30" s="1"/>
  <c r="AU31"/>
  <c r="AY31"/>
  <c r="AZ31" s="1"/>
  <c r="AU32"/>
  <c r="AW32" s="1"/>
  <c r="AU34"/>
  <c r="AW34" s="1"/>
  <c r="AU36"/>
  <c r="AW36" s="1"/>
  <c r="AT41"/>
  <c r="AX41"/>
  <c r="AZ41" s="1"/>
  <c r="AU42"/>
  <c r="AW42" s="1"/>
  <c r="AV45"/>
  <c r="AW45" s="1"/>
  <c r="AU46"/>
  <c r="AT47"/>
  <c r="AV49"/>
  <c r="AT51"/>
  <c r="AX51"/>
  <c r="AZ51" s="1"/>
  <c r="AT52"/>
  <c r="AV53"/>
  <c r="AU54"/>
  <c r="AW54" s="1"/>
  <c r="BB144" i="95" l="1"/>
  <c r="BB139"/>
  <c r="BB149"/>
  <c r="AW45"/>
  <c r="BB123"/>
  <c r="BB113"/>
  <c r="BB118"/>
  <c r="AZ33"/>
  <c r="AW27"/>
  <c r="AW53"/>
  <c r="AW49"/>
  <c r="BB142"/>
  <c r="BB147"/>
  <c r="BB137"/>
  <c r="BB116"/>
  <c r="BB121"/>
  <c r="BB111"/>
  <c r="AZ31"/>
  <c r="AZ27" i="94"/>
  <c r="AW23"/>
  <c r="BB123"/>
  <c r="BB113"/>
  <c r="BB118"/>
  <c r="AW26"/>
  <c r="AW49"/>
  <c r="AW27"/>
  <c r="AZ53"/>
  <c r="AZ49"/>
  <c r="K14"/>
  <c r="I72" s="1"/>
  <c r="CP138" s="1"/>
  <c r="K13"/>
  <c r="C32" s="1"/>
  <c r="CP126" s="1"/>
  <c r="K15"/>
  <c r="I90" s="1"/>
  <c r="CP142" s="1"/>
  <c r="K12"/>
  <c r="C38" s="1"/>
  <c r="CO128" s="1"/>
  <c r="AW53"/>
  <c r="K15" i="93"/>
  <c r="I90" s="1"/>
  <c r="CP142" s="1"/>
  <c r="K13"/>
  <c r="C32" s="1"/>
  <c r="CP126" s="1"/>
  <c r="K14"/>
  <c r="I72" s="1"/>
  <c r="CP138" s="1"/>
  <c r="K12"/>
  <c r="C38" s="1"/>
  <c r="CO128" s="1"/>
  <c r="AW31"/>
  <c r="AW46"/>
  <c r="AZ50"/>
  <c r="BB123"/>
  <c r="BB118"/>
  <c r="BB113"/>
  <c r="AW53"/>
  <c r="AW49"/>
  <c r="AW27"/>
  <c r="AZ27"/>
  <c r="AW23"/>
  <c r="CN145" i="91" l="1"/>
  <c r="CM145"/>
  <c r="CL145"/>
  <c r="CK145"/>
  <c r="CN144"/>
  <c r="CM144"/>
  <c r="CL144"/>
  <c r="CK144"/>
  <c r="CN143"/>
  <c r="CM143"/>
  <c r="CL143"/>
  <c r="CK143"/>
  <c r="CN142"/>
  <c r="CM142"/>
  <c r="CL142"/>
  <c r="CK142"/>
  <c r="CN141"/>
  <c r="CM141"/>
  <c r="CL141"/>
  <c r="CK141"/>
  <c r="CN140"/>
  <c r="CM140"/>
  <c r="CL140"/>
  <c r="CK140"/>
  <c r="CN139"/>
  <c r="CM139"/>
  <c r="CL139"/>
  <c r="CK139"/>
  <c r="CN138"/>
  <c r="CM138"/>
  <c r="CL138"/>
  <c r="CK138"/>
  <c r="CN137"/>
  <c r="CM137"/>
  <c r="CL137"/>
  <c r="CK137"/>
  <c r="CJ137"/>
  <c r="CN136"/>
  <c r="CM136"/>
  <c r="CL136"/>
  <c r="CK136"/>
  <c r="CJ136"/>
  <c r="CN135"/>
  <c r="CM135"/>
  <c r="CL135"/>
  <c r="CK135"/>
  <c r="CJ135"/>
  <c r="CN134"/>
  <c r="CM134"/>
  <c r="CL134"/>
  <c r="CK134"/>
  <c r="CJ134"/>
  <c r="CN133"/>
  <c r="CM133"/>
  <c r="CL133"/>
  <c r="CK133"/>
  <c r="CJ133"/>
  <c r="CN132"/>
  <c r="CM132"/>
  <c r="CL132"/>
  <c r="CK132"/>
  <c r="CJ132"/>
  <c r="CN131"/>
  <c r="CM131"/>
  <c r="CL131"/>
  <c r="CK131"/>
  <c r="CJ131"/>
  <c r="CN130"/>
  <c r="CM130"/>
  <c r="CL130"/>
  <c r="CK130"/>
  <c r="CJ130"/>
  <c r="CN129"/>
  <c r="CM129"/>
  <c r="CL129"/>
  <c r="CK129"/>
  <c r="CJ129"/>
  <c r="CN128"/>
  <c r="CM128"/>
  <c r="CL128"/>
  <c r="CK128"/>
  <c r="CJ128"/>
  <c r="BC128"/>
  <c r="CN127"/>
  <c r="CM127"/>
  <c r="CL127"/>
  <c r="CK127"/>
  <c r="CJ127"/>
  <c r="CN126"/>
  <c r="CM126"/>
  <c r="CL126"/>
  <c r="CK126"/>
  <c r="CJ126"/>
  <c r="CN125"/>
  <c r="CM125"/>
  <c r="CL125"/>
  <c r="CK125"/>
  <c r="CJ125"/>
  <c r="CN124"/>
  <c r="CM124"/>
  <c r="CL124"/>
  <c r="CK124"/>
  <c r="CJ124"/>
  <c r="CN123"/>
  <c r="CM123"/>
  <c r="CL123"/>
  <c r="CK123"/>
  <c r="CJ123"/>
  <c r="CN122"/>
  <c r="CM122"/>
  <c r="CL122"/>
  <c r="CK122"/>
  <c r="CJ122"/>
  <c r="CN121"/>
  <c r="CM121"/>
  <c r="CL121"/>
  <c r="CK121"/>
  <c r="CJ121"/>
  <c r="CN120"/>
  <c r="CM120"/>
  <c r="CL120"/>
  <c r="CK120"/>
  <c r="CJ120"/>
  <c r="CN119"/>
  <c r="CM119"/>
  <c r="CL119"/>
  <c r="CK119"/>
  <c r="CJ119"/>
  <c r="CN118"/>
  <c r="CM118"/>
  <c r="CL118"/>
  <c r="CK118"/>
  <c r="CJ118"/>
  <c r="CN117"/>
  <c r="CM117"/>
  <c r="CL117"/>
  <c r="CK117"/>
  <c r="CJ117"/>
  <c r="CN116"/>
  <c r="CM116"/>
  <c r="CL116"/>
  <c r="CK116"/>
  <c r="CJ116"/>
  <c r="CN115"/>
  <c r="CM115"/>
  <c r="CL115"/>
  <c r="CK115"/>
  <c r="CJ115"/>
  <c r="CN114"/>
  <c r="CM114"/>
  <c r="CL114"/>
  <c r="CK114"/>
  <c r="CJ114"/>
  <c r="CN113"/>
  <c r="CM113"/>
  <c r="CL113"/>
  <c r="CK113"/>
  <c r="CJ113"/>
  <c r="CN112"/>
  <c r="CM112"/>
  <c r="CL112"/>
  <c r="CK112"/>
  <c r="CJ112"/>
  <c r="CN111"/>
  <c r="CM111"/>
  <c r="CL111"/>
  <c r="CK111"/>
  <c r="CJ111"/>
  <c r="CN110"/>
  <c r="CM110"/>
  <c r="CL110"/>
  <c r="CK110"/>
  <c r="CJ110"/>
  <c r="CN109"/>
  <c r="CM109"/>
  <c r="CL109"/>
  <c r="CK109"/>
  <c r="CJ109"/>
  <c r="CN108"/>
  <c r="CM108"/>
  <c r="CL108"/>
  <c r="CK108"/>
  <c r="CJ108"/>
  <c r="CN107"/>
  <c r="CM107"/>
  <c r="CL107"/>
  <c r="CK107"/>
  <c r="CJ107"/>
  <c r="CN106"/>
  <c r="CM106"/>
  <c r="CL106"/>
  <c r="CK106"/>
  <c r="CJ106"/>
  <c r="CN105"/>
  <c r="CM105"/>
  <c r="CL105"/>
  <c r="CK105"/>
  <c r="CJ105"/>
  <c r="CN104"/>
  <c r="CM104"/>
  <c r="CL104"/>
  <c r="CK104"/>
  <c r="CJ104"/>
  <c r="CN103"/>
  <c r="CM103"/>
  <c r="CL103"/>
  <c r="CK103"/>
  <c r="CJ103"/>
  <c r="BB127" s="1"/>
  <c r="CN102"/>
  <c r="CM102"/>
  <c r="CL102"/>
  <c r="CK102"/>
  <c r="CJ102"/>
  <c r="BC102"/>
  <c r="BB101" s="1"/>
  <c r="O98"/>
  <c r="W96"/>
  <c r="V94"/>
  <c r="O94"/>
  <c r="P96" s="1"/>
  <c r="V90"/>
  <c r="P92" s="1"/>
  <c r="Y88" s="1"/>
  <c r="Y89" s="1"/>
  <c r="O90"/>
  <c r="W88"/>
  <c r="AC87"/>
  <c r="AB87"/>
  <c r="AA87"/>
  <c r="Z87"/>
  <c r="O86"/>
  <c r="P88" s="1"/>
  <c r="O80"/>
  <c r="W78"/>
  <c r="V76"/>
  <c r="O76"/>
  <c r="P78" s="1"/>
  <c r="V72"/>
  <c r="P74" s="1"/>
  <c r="Y70" s="1"/>
  <c r="Y71" s="1"/>
  <c r="O72"/>
  <c r="W70"/>
  <c r="AC69"/>
  <c r="AB69"/>
  <c r="AA69"/>
  <c r="Z69"/>
  <c r="O68"/>
  <c r="P70" s="1"/>
  <c r="O62"/>
  <c r="W60"/>
  <c r="V58"/>
  <c r="O58"/>
  <c r="P60" s="1"/>
  <c r="AS54"/>
  <c r="AR54"/>
  <c r="AQ54"/>
  <c r="AO54"/>
  <c r="AN54"/>
  <c r="V54"/>
  <c r="P56" s="1"/>
  <c r="Y52" s="1"/>
  <c r="Y53" s="1"/>
  <c r="O54"/>
  <c r="AS53"/>
  <c r="AR53"/>
  <c r="AQ53"/>
  <c r="AO53"/>
  <c r="AN53"/>
  <c r="AC53"/>
  <c r="AB53"/>
  <c r="AA53"/>
  <c r="Z53"/>
  <c r="AS52"/>
  <c r="AR52"/>
  <c r="AQ52"/>
  <c r="AO52"/>
  <c r="AN52"/>
  <c r="W52"/>
  <c r="X56" s="1"/>
  <c r="Y50" s="1"/>
  <c r="Y51" s="1"/>
  <c r="AS51"/>
  <c r="AR51"/>
  <c r="AQ51"/>
  <c r="AO51"/>
  <c r="AN51"/>
  <c r="AC51"/>
  <c r="AB51"/>
  <c r="AA51"/>
  <c r="Z51"/>
  <c r="AS50"/>
  <c r="AR50"/>
  <c r="AQ50"/>
  <c r="AO50"/>
  <c r="AN50"/>
  <c r="O50"/>
  <c r="P52" s="1"/>
  <c r="AS49"/>
  <c r="AR49"/>
  <c r="AQ49"/>
  <c r="AO49"/>
  <c r="AN49"/>
  <c r="AS48"/>
  <c r="AR48"/>
  <c r="AQ48"/>
  <c r="AO48"/>
  <c r="AN48"/>
  <c r="AS47"/>
  <c r="AR47"/>
  <c r="AQ47"/>
  <c r="AO47"/>
  <c r="AN47"/>
  <c r="AS46"/>
  <c r="AR46"/>
  <c r="AQ46"/>
  <c r="AO46"/>
  <c r="AN46"/>
  <c r="AS45"/>
  <c r="AR45"/>
  <c r="AQ45"/>
  <c r="AO45"/>
  <c r="AN45"/>
  <c r="AS44"/>
  <c r="AR44"/>
  <c r="AQ44"/>
  <c r="AO44"/>
  <c r="AN44"/>
  <c r="H44"/>
  <c r="AS43"/>
  <c r="AR43"/>
  <c r="AQ43"/>
  <c r="AO43"/>
  <c r="AN43"/>
  <c r="O43"/>
  <c r="AS42"/>
  <c r="AR42"/>
  <c r="AQ42"/>
  <c r="AO42"/>
  <c r="AN42"/>
  <c r="H42"/>
  <c r="I43" s="1"/>
  <c r="AS41"/>
  <c r="AR41"/>
  <c r="AQ41"/>
  <c r="AO41"/>
  <c r="AN41"/>
  <c r="W41"/>
  <c r="AS40"/>
  <c r="AR40"/>
  <c r="AQ40"/>
  <c r="AO40"/>
  <c r="AN40"/>
  <c r="H40"/>
  <c r="AS39"/>
  <c r="AR39"/>
  <c r="AQ39"/>
  <c r="AO39"/>
  <c r="AN39"/>
  <c r="V39"/>
  <c r="O39"/>
  <c r="AS38"/>
  <c r="AR38"/>
  <c r="AQ38"/>
  <c r="AO38"/>
  <c r="AN38"/>
  <c r="H38"/>
  <c r="AS37"/>
  <c r="AR37"/>
  <c r="AQ37"/>
  <c r="AO37"/>
  <c r="AN37"/>
  <c r="AS36"/>
  <c r="AR36"/>
  <c r="AQ36"/>
  <c r="AO36"/>
  <c r="AN36"/>
  <c r="H36"/>
  <c r="AS35"/>
  <c r="AR35"/>
  <c r="AQ35"/>
  <c r="AO35"/>
  <c r="AN35"/>
  <c r="V35"/>
  <c r="P37" s="1"/>
  <c r="Y33" s="1"/>
  <c r="Y34" s="1"/>
  <c r="O35"/>
  <c r="AS34"/>
  <c r="AR34"/>
  <c r="AQ34"/>
  <c r="AO34"/>
  <c r="AN34"/>
  <c r="AC34"/>
  <c r="AB34"/>
  <c r="AA34"/>
  <c r="Z34"/>
  <c r="H34"/>
  <c r="AS33"/>
  <c r="AR33"/>
  <c r="AQ33"/>
  <c r="AO33"/>
  <c r="AN33"/>
  <c r="W33"/>
  <c r="AS32"/>
  <c r="AR32"/>
  <c r="AQ32"/>
  <c r="AO32"/>
  <c r="AN32"/>
  <c r="AC32"/>
  <c r="AB32"/>
  <c r="AA32"/>
  <c r="Z32"/>
  <c r="H32"/>
  <c r="AS31"/>
  <c r="AR31"/>
  <c r="AQ31"/>
  <c r="AO31"/>
  <c r="AN31"/>
  <c r="O31"/>
  <c r="P33" s="1"/>
  <c r="AV30"/>
  <c r="AS30"/>
  <c r="AR30"/>
  <c r="AQ30"/>
  <c r="AO30"/>
  <c r="AN30"/>
  <c r="H30"/>
  <c r="I31" s="1"/>
  <c r="AY29"/>
  <c r="AU29"/>
  <c r="AS29"/>
  <c r="AR29"/>
  <c r="AQ29"/>
  <c r="AO29"/>
  <c r="AN29"/>
  <c r="AV28"/>
  <c r="AS28"/>
  <c r="AR28"/>
  <c r="AQ28"/>
  <c r="AO28"/>
  <c r="AN28"/>
  <c r="AS27"/>
  <c r="AR27"/>
  <c r="AQ27"/>
  <c r="AO27"/>
  <c r="AN27"/>
  <c r="AA27"/>
  <c r="Y27"/>
  <c r="CP125" s="1"/>
  <c r="T27"/>
  <c r="R27"/>
  <c r="CP123" s="1"/>
  <c r="M27"/>
  <c r="K27"/>
  <c r="CP121" s="1"/>
  <c r="F27"/>
  <c r="D27"/>
  <c r="CP119" s="1"/>
  <c r="AS26"/>
  <c r="AR26"/>
  <c r="AQ26"/>
  <c r="AP26"/>
  <c r="AO26"/>
  <c r="AN26"/>
  <c r="AA26"/>
  <c r="AY54" s="1"/>
  <c r="Y26"/>
  <c r="CO125" s="1"/>
  <c r="T26"/>
  <c r="AY42" s="1"/>
  <c r="R26"/>
  <c r="AP41" s="1"/>
  <c r="M26"/>
  <c r="AY30" s="1"/>
  <c r="K26"/>
  <c r="AP29" s="1"/>
  <c r="F26"/>
  <c r="D26"/>
  <c r="CO119" s="1"/>
  <c r="AY25"/>
  <c r="AU25"/>
  <c r="AS25"/>
  <c r="AR25"/>
  <c r="AQ25"/>
  <c r="AO25"/>
  <c r="AN25"/>
  <c r="AI25"/>
  <c r="AG25"/>
  <c r="AA25"/>
  <c r="Y25"/>
  <c r="AP52" s="1"/>
  <c r="T25"/>
  <c r="R25"/>
  <c r="AP40" s="1"/>
  <c r="M25"/>
  <c r="K25"/>
  <c r="CP120" s="1"/>
  <c r="F25"/>
  <c r="D25"/>
  <c r="CP118" s="1"/>
  <c r="AX24"/>
  <c r="AT24"/>
  <c r="AS24"/>
  <c r="AR24"/>
  <c r="AQ24"/>
  <c r="AO24"/>
  <c r="AN24"/>
  <c r="AK24"/>
  <c r="AI24"/>
  <c r="AG24"/>
  <c r="AA24"/>
  <c r="AX52" s="1"/>
  <c r="Y24"/>
  <c r="AP51" s="1"/>
  <c r="T24"/>
  <c r="AV39" s="1"/>
  <c r="R24"/>
  <c r="CO122" s="1"/>
  <c r="M24"/>
  <c r="AY28" s="1"/>
  <c r="K24"/>
  <c r="AP27" s="1"/>
  <c r="F24"/>
  <c r="D24"/>
  <c r="CO118" s="1"/>
  <c r="AX23"/>
  <c r="AT23"/>
  <c r="AS23"/>
  <c r="AR23"/>
  <c r="AQ23"/>
  <c r="AP23"/>
  <c r="AO23"/>
  <c r="AN23"/>
  <c r="AK23"/>
  <c r="AI23"/>
  <c r="AG23"/>
  <c r="AA23"/>
  <c r="Y23"/>
  <c r="CP117" s="1"/>
  <c r="T23"/>
  <c r="R23"/>
  <c r="AP38" s="1"/>
  <c r="M23"/>
  <c r="K23"/>
  <c r="CP113" s="1"/>
  <c r="F23"/>
  <c r="D23"/>
  <c r="CP111" s="1"/>
  <c r="AX22"/>
  <c r="AT22"/>
  <c r="AS22"/>
  <c r="AR22"/>
  <c r="AQ22"/>
  <c r="AO22"/>
  <c r="AN22"/>
  <c r="AK22"/>
  <c r="AI22"/>
  <c r="AG22"/>
  <c r="AA22"/>
  <c r="AV50" s="1"/>
  <c r="Y22"/>
  <c r="CO117" s="1"/>
  <c r="T22"/>
  <c r="AV37" s="1"/>
  <c r="R22"/>
  <c r="CO115" s="1"/>
  <c r="M22"/>
  <c r="AX25" s="1"/>
  <c r="AZ25" s="1"/>
  <c r="K22"/>
  <c r="CO113" s="1"/>
  <c r="F22"/>
  <c r="D22"/>
  <c r="CO111" s="1"/>
  <c r="AX21"/>
  <c r="AT21"/>
  <c r="AS21"/>
  <c r="AR21"/>
  <c r="AQ21"/>
  <c r="AO21"/>
  <c r="AN21"/>
  <c r="AK21"/>
  <c r="AI21"/>
  <c r="AG21"/>
  <c r="AA21"/>
  <c r="Y21"/>
  <c r="AP48" s="1"/>
  <c r="T21"/>
  <c r="R21"/>
  <c r="CP114" s="1"/>
  <c r="M21"/>
  <c r="K21"/>
  <c r="CP112" s="1"/>
  <c r="F21"/>
  <c r="D21"/>
  <c r="CP110" s="1"/>
  <c r="AX20"/>
  <c r="AT20"/>
  <c r="AS20"/>
  <c r="AR20"/>
  <c r="AQ20"/>
  <c r="AP20"/>
  <c r="AO20"/>
  <c r="AN20"/>
  <c r="AI20"/>
  <c r="AG20"/>
  <c r="AA20"/>
  <c r="AX47" s="1"/>
  <c r="Y20"/>
  <c r="AP47" s="1"/>
  <c r="T20"/>
  <c r="AY36" s="1"/>
  <c r="R20"/>
  <c r="AP35" s="1"/>
  <c r="M20"/>
  <c r="AY24" s="1"/>
  <c r="K20"/>
  <c r="CO112" s="1"/>
  <c r="F20"/>
  <c r="D20"/>
  <c r="CO110" s="1"/>
  <c r="AS19"/>
  <c r="AR19"/>
  <c r="AQ19"/>
  <c r="AO19"/>
  <c r="AN19"/>
  <c r="AK19"/>
  <c r="AI19"/>
  <c r="AG19"/>
  <c r="AA19"/>
  <c r="Y19"/>
  <c r="CP109" s="1"/>
  <c r="T19"/>
  <c r="R19"/>
  <c r="CP107" s="1"/>
  <c r="M19"/>
  <c r="K19"/>
  <c r="CP105" s="1"/>
  <c r="F19"/>
  <c r="D19"/>
  <c r="CP103" s="1"/>
  <c r="AY18"/>
  <c r="AX18"/>
  <c r="AZ18" s="1"/>
  <c r="AW18"/>
  <c r="AV18"/>
  <c r="AU18"/>
  <c r="AT18"/>
  <c r="AS18"/>
  <c r="AR18"/>
  <c r="AQ18"/>
  <c r="AP18"/>
  <c r="AO18"/>
  <c r="AN18"/>
  <c r="AK18"/>
  <c r="AI18"/>
  <c r="AG18"/>
  <c r="AA18"/>
  <c r="AY46" s="1"/>
  <c r="Y18"/>
  <c r="CO109" s="1"/>
  <c r="T18"/>
  <c r="AY34" s="1"/>
  <c r="R18"/>
  <c r="CO107" s="1"/>
  <c r="M18"/>
  <c r="AY22" s="1"/>
  <c r="K18"/>
  <c r="CO105" s="1"/>
  <c r="F18"/>
  <c r="D18"/>
  <c r="CO103" s="1"/>
  <c r="AY17"/>
  <c r="AX17"/>
  <c r="AZ17" s="1"/>
  <c r="AW17"/>
  <c r="AV17"/>
  <c r="AU17"/>
  <c r="AT17"/>
  <c r="AS17"/>
  <c r="AR17"/>
  <c r="AQ17"/>
  <c r="AP17"/>
  <c r="AO17"/>
  <c r="AN17"/>
  <c r="AK17"/>
  <c r="AI17"/>
  <c r="AG17"/>
  <c r="AA17"/>
  <c r="Y17"/>
  <c r="CP108" s="1"/>
  <c r="T17"/>
  <c r="R17"/>
  <c r="CP106" s="1"/>
  <c r="M17"/>
  <c r="K17"/>
  <c r="CP104" s="1"/>
  <c r="F17"/>
  <c r="D17"/>
  <c r="CP102" s="1"/>
  <c r="AY16"/>
  <c r="AX16"/>
  <c r="AZ16" s="1"/>
  <c r="AW16"/>
  <c r="AV16"/>
  <c r="AU16"/>
  <c r="AT16"/>
  <c r="AS16"/>
  <c r="AR16"/>
  <c r="AQ16"/>
  <c r="AP16"/>
  <c r="AO16"/>
  <c r="AN16"/>
  <c r="AK16"/>
  <c r="AI16"/>
  <c r="AG16"/>
  <c r="AA16"/>
  <c r="AV43" s="1"/>
  <c r="Y16"/>
  <c r="AP43" s="1"/>
  <c r="T16"/>
  <c r="AY32" s="1"/>
  <c r="R16"/>
  <c r="CO106" s="1"/>
  <c r="M16"/>
  <c r="AV19" s="1"/>
  <c r="K16"/>
  <c r="CO104" s="1"/>
  <c r="F16"/>
  <c r="D16"/>
  <c r="CO102" s="1"/>
  <c r="AY15"/>
  <c r="AX15"/>
  <c r="AZ15" s="1"/>
  <c r="AW15"/>
  <c r="AV15"/>
  <c r="AU15"/>
  <c r="AT15"/>
  <c r="AS15"/>
  <c r="AR15"/>
  <c r="AQ15"/>
  <c r="AP15"/>
  <c r="AO15"/>
  <c r="AN15"/>
  <c r="AI15"/>
  <c r="AG15"/>
  <c r="AZ14"/>
  <c r="AY14"/>
  <c r="AX14"/>
  <c r="AV14"/>
  <c r="AU14"/>
  <c r="AW14" s="1"/>
  <c r="AT14"/>
  <c r="AS14"/>
  <c r="AR14"/>
  <c r="AQ14"/>
  <c r="AP14"/>
  <c r="AO14"/>
  <c r="AN14"/>
  <c r="AK14"/>
  <c r="AI14"/>
  <c r="AG14"/>
  <c r="AZ13"/>
  <c r="AY13"/>
  <c r="AX13"/>
  <c r="AV13"/>
  <c r="AU13"/>
  <c r="AW13" s="1"/>
  <c r="AT13"/>
  <c r="AS13"/>
  <c r="AR13"/>
  <c r="AQ13"/>
  <c r="AP13"/>
  <c r="AO13"/>
  <c r="AN13"/>
  <c r="AK13"/>
  <c r="AI13"/>
  <c r="AG13"/>
  <c r="AZ12"/>
  <c r="AY12"/>
  <c r="AX12"/>
  <c r="AV12"/>
  <c r="AU12"/>
  <c r="AW12" s="1"/>
  <c r="AT12"/>
  <c r="AS12"/>
  <c r="AR12"/>
  <c r="AQ12"/>
  <c r="AP12"/>
  <c r="AO12"/>
  <c r="AN12"/>
  <c r="AK12"/>
  <c r="AI12"/>
  <c r="AG12"/>
  <c r="AZ11"/>
  <c r="AY11"/>
  <c r="AX11"/>
  <c r="AV11"/>
  <c r="AU11"/>
  <c r="AW11" s="1"/>
  <c r="AT11"/>
  <c r="AS11"/>
  <c r="AR11"/>
  <c r="AQ11"/>
  <c r="AP11"/>
  <c r="AO11"/>
  <c r="AN11"/>
  <c r="AK11"/>
  <c r="AI11"/>
  <c r="AG11"/>
  <c r="AZ10"/>
  <c r="AY10"/>
  <c r="AX10"/>
  <c r="AV10"/>
  <c r="AU10"/>
  <c r="AW10" s="1"/>
  <c r="AT10"/>
  <c r="AS10"/>
  <c r="AR10"/>
  <c r="AQ10"/>
  <c r="AP10"/>
  <c r="AO10"/>
  <c r="AN10"/>
  <c r="AI10"/>
  <c r="AG10"/>
  <c r="AC10"/>
  <c r="V10"/>
  <c r="O10"/>
  <c r="H10"/>
  <c r="AY9"/>
  <c r="AX9"/>
  <c r="AZ9" s="1"/>
  <c r="AV9"/>
  <c r="AU9"/>
  <c r="AW9" s="1"/>
  <c r="AT9"/>
  <c r="AS9"/>
  <c r="AR9"/>
  <c r="AQ9"/>
  <c r="AP9"/>
  <c r="AO9"/>
  <c r="AN9"/>
  <c r="AC9"/>
  <c r="Y12" s="1"/>
  <c r="C44" s="1"/>
  <c r="CP129" s="1"/>
  <c r="V9"/>
  <c r="O9"/>
  <c r="H9"/>
  <c r="AZ8"/>
  <c r="AY8"/>
  <c r="AX8"/>
  <c r="AV8"/>
  <c r="AU8"/>
  <c r="AW8" s="1"/>
  <c r="AT8"/>
  <c r="AS8"/>
  <c r="AR8"/>
  <c r="AQ8"/>
  <c r="AP8"/>
  <c r="AO8"/>
  <c r="AN8"/>
  <c r="AC8"/>
  <c r="V8"/>
  <c r="O8"/>
  <c r="H8"/>
  <c r="AY7"/>
  <c r="AX7"/>
  <c r="AZ7" s="1"/>
  <c r="AW7"/>
  <c r="AV7"/>
  <c r="AU7"/>
  <c r="AT7"/>
  <c r="AS7"/>
  <c r="AR7"/>
  <c r="AQ7"/>
  <c r="AP7"/>
  <c r="AO7"/>
  <c r="AN7"/>
  <c r="AC7"/>
  <c r="Y15" s="1"/>
  <c r="I98" s="1"/>
  <c r="CP143" s="1"/>
  <c r="V7"/>
  <c r="R15" s="1"/>
  <c r="I94" s="1"/>
  <c r="CO143" s="1"/>
  <c r="O7"/>
  <c r="K15" s="1"/>
  <c r="I90" s="1"/>
  <c r="CP142" s="1"/>
  <c r="H7"/>
  <c r="D15" s="1"/>
  <c r="I86" s="1"/>
  <c r="CO142" s="1"/>
  <c r="D15" i="86"/>
  <c r="D14"/>
  <c r="D13"/>
  <c r="D12"/>
  <c r="I35" i="91" l="1"/>
  <c r="I39"/>
  <c r="X37"/>
  <c r="Y31" s="1"/>
  <c r="Y32" s="1"/>
  <c r="P41"/>
  <c r="X74"/>
  <c r="Y68" s="1"/>
  <c r="Y69" s="1"/>
  <c r="X92"/>
  <c r="Y86" s="1"/>
  <c r="Y87" s="1"/>
  <c r="AP21"/>
  <c r="AP24"/>
  <c r="AP22"/>
  <c r="CO133"/>
  <c r="P35"/>
  <c r="CO132" s="1"/>
  <c r="CP133"/>
  <c r="P39"/>
  <c r="CP132" s="1"/>
  <c r="CP131"/>
  <c r="I62"/>
  <c r="CP135" s="1"/>
  <c r="CP137"/>
  <c r="P58"/>
  <c r="CP136" s="1"/>
  <c r="CO141"/>
  <c r="P72"/>
  <c r="CO140" s="1"/>
  <c r="P76"/>
  <c r="CP140" s="1"/>
  <c r="CP141"/>
  <c r="CO145"/>
  <c r="P90"/>
  <c r="CO144" s="1"/>
  <c r="CP145"/>
  <c r="P94"/>
  <c r="CP144" s="1"/>
  <c r="AZ24"/>
  <c r="I54"/>
  <c r="CP134" s="1"/>
  <c r="CP130"/>
  <c r="I58"/>
  <c r="CO135" s="1"/>
  <c r="CO131"/>
  <c r="CO137"/>
  <c r="P54"/>
  <c r="CO136" s="1"/>
  <c r="BB133"/>
  <c r="CO130"/>
  <c r="I50"/>
  <c r="CO134" s="1"/>
  <c r="AZ22"/>
  <c r="K12"/>
  <c r="C38" s="1"/>
  <c r="CO128" s="1"/>
  <c r="K13"/>
  <c r="C32" s="1"/>
  <c r="CP126" s="1"/>
  <c r="K14"/>
  <c r="I72" s="1"/>
  <c r="CP138" s="1"/>
  <c r="AU19"/>
  <c r="AW19" s="1"/>
  <c r="AY19"/>
  <c r="AV20"/>
  <c r="AV21"/>
  <c r="AV22"/>
  <c r="AV23"/>
  <c r="AV24"/>
  <c r="AV26"/>
  <c r="AU27"/>
  <c r="AY27"/>
  <c r="AP28"/>
  <c r="AT28"/>
  <c r="AX28"/>
  <c r="AZ28" s="1"/>
  <c r="AP30"/>
  <c r="AT30"/>
  <c r="AX30"/>
  <c r="AZ30" s="1"/>
  <c r="AP31"/>
  <c r="AT31"/>
  <c r="AX31"/>
  <c r="AZ31" s="1"/>
  <c r="AP32"/>
  <c r="AT32"/>
  <c r="AX32"/>
  <c r="AZ32" s="1"/>
  <c r="AP33"/>
  <c r="AT33"/>
  <c r="AX33"/>
  <c r="AP34"/>
  <c r="AT34"/>
  <c r="AX34"/>
  <c r="AZ34" s="1"/>
  <c r="AP36"/>
  <c r="AT36"/>
  <c r="AX36"/>
  <c r="AZ36" s="1"/>
  <c r="AU37"/>
  <c r="AW37" s="1"/>
  <c r="AY37"/>
  <c r="AV38"/>
  <c r="AU39"/>
  <c r="AW39" s="1"/>
  <c r="AY39"/>
  <c r="AV40"/>
  <c r="AP42"/>
  <c r="AT42"/>
  <c r="AX42"/>
  <c r="AZ42" s="1"/>
  <c r="AU43"/>
  <c r="AW43" s="1"/>
  <c r="AY43"/>
  <c r="AV44"/>
  <c r="AU45"/>
  <c r="AY45"/>
  <c r="AP46"/>
  <c r="AT46"/>
  <c r="AX46"/>
  <c r="AZ46" s="1"/>
  <c r="AV48"/>
  <c r="AU49"/>
  <c r="AY49"/>
  <c r="AU50"/>
  <c r="AW50" s="1"/>
  <c r="AY50"/>
  <c r="AU53"/>
  <c r="AY53"/>
  <c r="AP54"/>
  <c r="AT54"/>
  <c r="AX54"/>
  <c r="AZ54" s="1"/>
  <c r="BB105"/>
  <c r="CO108"/>
  <c r="CO114"/>
  <c r="CP115"/>
  <c r="CP116"/>
  <c r="CO120"/>
  <c r="CO121"/>
  <c r="CP122"/>
  <c r="BB131"/>
  <c r="D12"/>
  <c r="C30" s="1"/>
  <c r="CO126" s="1"/>
  <c r="D13"/>
  <c r="C40" s="1"/>
  <c r="CP128" s="1"/>
  <c r="D14"/>
  <c r="I68" s="1"/>
  <c r="CO138" s="1"/>
  <c r="AP19"/>
  <c r="AT19"/>
  <c r="AX19"/>
  <c r="AZ19" s="1"/>
  <c r="AU20"/>
  <c r="AY20"/>
  <c r="AZ20" s="1"/>
  <c r="AU21"/>
  <c r="AW21" s="1"/>
  <c r="AY21"/>
  <c r="AZ21" s="1"/>
  <c r="AU22"/>
  <c r="AW22" s="1"/>
  <c r="AU23"/>
  <c r="AW23" s="1"/>
  <c r="AY23"/>
  <c r="AZ23" s="1"/>
  <c r="AU24"/>
  <c r="AV25"/>
  <c r="AW25" s="1"/>
  <c r="AU26"/>
  <c r="AW26" s="1"/>
  <c r="AY26"/>
  <c r="AT27"/>
  <c r="AX27"/>
  <c r="AZ27" s="1"/>
  <c r="AV29"/>
  <c r="AW29" s="1"/>
  <c r="AV35"/>
  <c r="AP37"/>
  <c r="AT37"/>
  <c r="AX37"/>
  <c r="AZ37" s="1"/>
  <c r="AU38"/>
  <c r="AW38" s="1"/>
  <c r="AY38"/>
  <c r="AP39"/>
  <c r="AT39"/>
  <c r="AX39"/>
  <c r="AZ39" s="1"/>
  <c r="AU40"/>
  <c r="AW40" s="1"/>
  <c r="AY40"/>
  <c r="AV41"/>
  <c r="AT43"/>
  <c r="AX43"/>
  <c r="AZ43" s="1"/>
  <c r="AU44"/>
  <c r="AY44"/>
  <c r="AP45"/>
  <c r="AT45"/>
  <c r="AX45"/>
  <c r="AZ45" s="1"/>
  <c r="AV47"/>
  <c r="AU48"/>
  <c r="AW48" s="1"/>
  <c r="AY48"/>
  <c r="AP49"/>
  <c r="AT49"/>
  <c r="AX49"/>
  <c r="AP50"/>
  <c r="AT50"/>
  <c r="AX50"/>
  <c r="AZ50" s="1"/>
  <c r="AV51"/>
  <c r="AV52"/>
  <c r="AP53"/>
  <c r="AT53"/>
  <c r="AX53"/>
  <c r="BB107"/>
  <c r="CO116"/>
  <c r="CO123"/>
  <c r="CP124"/>
  <c r="Y13"/>
  <c r="C34" s="1"/>
  <c r="CO127" s="1"/>
  <c r="Y14"/>
  <c r="I80" s="1"/>
  <c r="CP139" s="1"/>
  <c r="AT26"/>
  <c r="AX26"/>
  <c r="AZ26" s="1"/>
  <c r="AV31"/>
  <c r="AV32"/>
  <c r="AV33"/>
  <c r="AV34"/>
  <c r="AU35"/>
  <c r="AW35" s="1"/>
  <c r="AY35"/>
  <c r="AV36"/>
  <c r="AT38"/>
  <c r="AX38"/>
  <c r="AZ38" s="1"/>
  <c r="AT40"/>
  <c r="AX40"/>
  <c r="AZ40" s="1"/>
  <c r="AU41"/>
  <c r="AY41"/>
  <c r="AV42"/>
  <c r="AP44"/>
  <c r="AT44"/>
  <c r="AX44"/>
  <c r="AV46"/>
  <c r="AU47"/>
  <c r="AW47" s="1"/>
  <c r="AY47"/>
  <c r="AZ47" s="1"/>
  <c r="AT48"/>
  <c r="AX48"/>
  <c r="AU51"/>
  <c r="AW51" s="1"/>
  <c r="AY51"/>
  <c r="AU52"/>
  <c r="AW52" s="1"/>
  <c r="AY52"/>
  <c r="AZ52" s="1"/>
  <c r="AV54"/>
  <c r="CO124"/>
  <c r="R12"/>
  <c r="C36" s="1"/>
  <c r="CP127" s="1"/>
  <c r="R13"/>
  <c r="C42" s="1"/>
  <c r="CO129" s="1"/>
  <c r="R14"/>
  <c r="I76" s="1"/>
  <c r="CO139" s="1"/>
  <c r="AP25"/>
  <c r="AT25"/>
  <c r="AV27"/>
  <c r="AU28"/>
  <c r="AW28" s="1"/>
  <c r="AT29"/>
  <c r="AX29"/>
  <c r="AZ29" s="1"/>
  <c r="AU30"/>
  <c r="AW30" s="1"/>
  <c r="AU31"/>
  <c r="AW31" s="1"/>
  <c r="AY31"/>
  <c r="AU32"/>
  <c r="AW32" s="1"/>
  <c r="AU33"/>
  <c r="AY33"/>
  <c r="AU34"/>
  <c r="AW34" s="1"/>
  <c r="AT35"/>
  <c r="AX35"/>
  <c r="AZ35" s="1"/>
  <c r="AU36"/>
  <c r="AW36" s="1"/>
  <c r="AT41"/>
  <c r="AX41"/>
  <c r="AZ41" s="1"/>
  <c r="AU42"/>
  <c r="AW42" s="1"/>
  <c r="AV45"/>
  <c r="AU46"/>
  <c r="AW46" s="1"/>
  <c r="AT47"/>
  <c r="AV49"/>
  <c r="AT51"/>
  <c r="AX51"/>
  <c r="AZ51" s="1"/>
  <c r="AT52"/>
  <c r="AV53"/>
  <c r="AU54"/>
  <c r="AW54" s="1"/>
  <c r="BB142" l="1"/>
  <c r="BB147"/>
  <c r="BB137"/>
  <c r="AW41"/>
  <c r="AZ53"/>
  <c r="AZ49"/>
  <c r="AW45"/>
  <c r="BB116"/>
  <c r="BB121"/>
  <c r="BB111"/>
  <c r="BB123"/>
  <c r="BB113"/>
  <c r="BB118"/>
  <c r="BB144"/>
  <c r="BB139"/>
  <c r="BB149"/>
  <c r="AZ44"/>
  <c r="AW24"/>
  <c r="AZ33"/>
  <c r="AW27"/>
  <c r="AW33"/>
  <c r="AZ48"/>
  <c r="AW44"/>
  <c r="AW20"/>
  <c r="AW53"/>
  <c r="AW49"/>
  <c r="CN145" i="86" l="1"/>
  <c r="CM145"/>
  <c r="CL145"/>
  <c r="CK145"/>
  <c r="CN144"/>
  <c r="CM144"/>
  <c r="CL144"/>
  <c r="CK144"/>
  <c r="CN143"/>
  <c r="CM143"/>
  <c r="CL143"/>
  <c r="CK143"/>
  <c r="CN142"/>
  <c r="CM142"/>
  <c r="CL142"/>
  <c r="CK142"/>
  <c r="CN141"/>
  <c r="CM141"/>
  <c r="CL141"/>
  <c r="CK141"/>
  <c r="CN140"/>
  <c r="CM140"/>
  <c r="CL140"/>
  <c r="CK140"/>
  <c r="CN139"/>
  <c r="CM139"/>
  <c r="CL139"/>
  <c r="CK139"/>
  <c r="CN138"/>
  <c r="CM138"/>
  <c r="CL138"/>
  <c r="CK138"/>
  <c r="CN137"/>
  <c r="CM137"/>
  <c r="CL137"/>
  <c r="CK137"/>
  <c r="CJ137"/>
  <c r="CN136"/>
  <c r="CM136"/>
  <c r="CL136"/>
  <c r="CK136"/>
  <c r="CJ136"/>
  <c r="CN135"/>
  <c r="CM135"/>
  <c r="CL135"/>
  <c r="CK135"/>
  <c r="CJ135"/>
  <c r="CN134"/>
  <c r="CM134"/>
  <c r="CL134"/>
  <c r="CK134"/>
  <c r="CJ134"/>
  <c r="CN133"/>
  <c r="CM133"/>
  <c r="CL133"/>
  <c r="CK133"/>
  <c r="CJ133"/>
  <c r="CN132"/>
  <c r="CM132"/>
  <c r="CL132"/>
  <c r="CK132"/>
  <c r="CJ132"/>
  <c r="CN131"/>
  <c r="CM131"/>
  <c r="CL131"/>
  <c r="CK131"/>
  <c r="CJ131"/>
  <c r="CN130"/>
  <c r="CM130"/>
  <c r="CL130"/>
  <c r="CK130"/>
  <c r="CJ130"/>
  <c r="CN129"/>
  <c r="CM129"/>
  <c r="CL129"/>
  <c r="CK129"/>
  <c r="CJ129"/>
  <c r="CN128"/>
  <c r="CM128"/>
  <c r="CL128"/>
  <c r="CK128"/>
  <c r="CJ128"/>
  <c r="BC128"/>
  <c r="CN127"/>
  <c r="CM127"/>
  <c r="CL127"/>
  <c r="CK127"/>
  <c r="CJ127"/>
  <c r="CN126"/>
  <c r="CM126"/>
  <c r="CL126"/>
  <c r="CK126"/>
  <c r="CJ126"/>
  <c r="CN125"/>
  <c r="CM125"/>
  <c r="CL125"/>
  <c r="CK125"/>
  <c r="CJ125"/>
  <c r="CN124"/>
  <c r="CM124"/>
  <c r="CL124"/>
  <c r="CK124"/>
  <c r="CJ124"/>
  <c r="CN123"/>
  <c r="CM123"/>
  <c r="CL123"/>
  <c r="CK123"/>
  <c r="CJ123"/>
  <c r="CN122"/>
  <c r="CM122"/>
  <c r="CL122"/>
  <c r="CK122"/>
  <c r="CJ122"/>
  <c r="CN121"/>
  <c r="CM121"/>
  <c r="CL121"/>
  <c r="CK121"/>
  <c r="CJ121"/>
  <c r="CN120"/>
  <c r="CM120"/>
  <c r="CL120"/>
  <c r="CK120"/>
  <c r="CJ120"/>
  <c r="CN119"/>
  <c r="CM119"/>
  <c r="CL119"/>
  <c r="CK119"/>
  <c r="CJ119"/>
  <c r="CN118"/>
  <c r="CM118"/>
  <c r="CL118"/>
  <c r="CK118"/>
  <c r="CJ118"/>
  <c r="CN117"/>
  <c r="CM117"/>
  <c r="CL117"/>
  <c r="CK117"/>
  <c r="CJ117"/>
  <c r="CN116"/>
  <c r="CM116"/>
  <c r="CL116"/>
  <c r="CK116"/>
  <c r="CJ116"/>
  <c r="CN115"/>
  <c r="CM115"/>
  <c r="CL115"/>
  <c r="CK115"/>
  <c r="CJ115"/>
  <c r="CN114"/>
  <c r="CM114"/>
  <c r="CL114"/>
  <c r="CK114"/>
  <c r="CJ114"/>
  <c r="CN113"/>
  <c r="CM113"/>
  <c r="CL113"/>
  <c r="CK113"/>
  <c r="CJ113"/>
  <c r="CN112"/>
  <c r="CM112"/>
  <c r="CL112"/>
  <c r="CK112"/>
  <c r="CJ112"/>
  <c r="CN111"/>
  <c r="CM111"/>
  <c r="CL111"/>
  <c r="CK111"/>
  <c r="CJ111"/>
  <c r="CN110"/>
  <c r="CM110"/>
  <c r="CL110"/>
  <c r="CK110"/>
  <c r="CJ110"/>
  <c r="CN109"/>
  <c r="CM109"/>
  <c r="CL109"/>
  <c r="CK109"/>
  <c r="CJ109"/>
  <c r="CN108"/>
  <c r="CM108"/>
  <c r="CL108"/>
  <c r="CK108"/>
  <c r="CJ108"/>
  <c r="CN107"/>
  <c r="CM107"/>
  <c r="CL107"/>
  <c r="CK107"/>
  <c r="CJ107"/>
  <c r="CN106"/>
  <c r="CM106"/>
  <c r="CL106"/>
  <c r="CK106"/>
  <c r="CJ106"/>
  <c r="CN105"/>
  <c r="CM105"/>
  <c r="CL105"/>
  <c r="CK105"/>
  <c r="CJ105"/>
  <c r="CN104"/>
  <c r="CM104"/>
  <c r="CL104"/>
  <c r="CK104"/>
  <c r="CJ104"/>
  <c r="CN103"/>
  <c r="CM103"/>
  <c r="CL103"/>
  <c r="CK103"/>
  <c r="CJ103"/>
  <c r="CN102"/>
  <c r="CM102"/>
  <c r="CL102"/>
  <c r="CK102"/>
  <c r="CJ102"/>
  <c r="BC102"/>
  <c r="O98"/>
  <c r="W96"/>
  <c r="V94"/>
  <c r="O94"/>
  <c r="V90"/>
  <c r="O90"/>
  <c r="W88"/>
  <c r="AC87"/>
  <c r="AB87"/>
  <c r="AA87"/>
  <c r="Z87"/>
  <c r="O86"/>
  <c r="O80"/>
  <c r="W78"/>
  <c r="V76"/>
  <c r="O76"/>
  <c r="V72"/>
  <c r="O72"/>
  <c r="W70"/>
  <c r="AC69"/>
  <c r="AB69"/>
  <c r="AA69"/>
  <c r="Z69"/>
  <c r="O68"/>
  <c r="O62"/>
  <c r="W60"/>
  <c r="V58"/>
  <c r="O58"/>
  <c r="AS54"/>
  <c r="AR54"/>
  <c r="AQ54"/>
  <c r="AO54"/>
  <c r="AN54"/>
  <c r="V54"/>
  <c r="O54"/>
  <c r="AS53"/>
  <c r="AR53"/>
  <c r="AQ53"/>
  <c r="AO53"/>
  <c r="AN53"/>
  <c r="AC53"/>
  <c r="AB53"/>
  <c r="AA53"/>
  <c r="Z53"/>
  <c r="AS52"/>
  <c r="AR52"/>
  <c r="AQ52"/>
  <c r="AO52"/>
  <c r="AN52"/>
  <c r="W52"/>
  <c r="AS51"/>
  <c r="AR51"/>
  <c r="AQ51"/>
  <c r="AO51"/>
  <c r="AN51"/>
  <c r="AC51"/>
  <c r="AB51"/>
  <c r="AA51"/>
  <c r="Z51"/>
  <c r="AS50"/>
  <c r="AR50"/>
  <c r="AQ50"/>
  <c r="AO50"/>
  <c r="AN50"/>
  <c r="O50"/>
  <c r="AS49"/>
  <c r="AR49"/>
  <c r="AQ49"/>
  <c r="AO49"/>
  <c r="AN49"/>
  <c r="AS48"/>
  <c r="AR48"/>
  <c r="AQ48"/>
  <c r="AO48"/>
  <c r="AN48"/>
  <c r="AS47"/>
  <c r="AR47"/>
  <c r="AQ47"/>
  <c r="AO47"/>
  <c r="AN47"/>
  <c r="AS46"/>
  <c r="AR46"/>
  <c r="AQ46"/>
  <c r="AO46"/>
  <c r="AN46"/>
  <c r="AS45"/>
  <c r="AR45"/>
  <c r="AQ45"/>
  <c r="AO45"/>
  <c r="AN45"/>
  <c r="AS44"/>
  <c r="AR44"/>
  <c r="AQ44"/>
  <c r="AO44"/>
  <c r="AN44"/>
  <c r="H44"/>
  <c r="AS43"/>
  <c r="AR43"/>
  <c r="AQ43"/>
  <c r="AO43"/>
  <c r="AN43"/>
  <c r="O43"/>
  <c r="AS42"/>
  <c r="AR42"/>
  <c r="AQ42"/>
  <c r="AO42"/>
  <c r="AN42"/>
  <c r="H42"/>
  <c r="AS41"/>
  <c r="AR41"/>
  <c r="AQ41"/>
  <c r="AO41"/>
  <c r="AN41"/>
  <c r="W41"/>
  <c r="AS40"/>
  <c r="AR40"/>
  <c r="AQ40"/>
  <c r="AO40"/>
  <c r="AN40"/>
  <c r="H40"/>
  <c r="AS39"/>
  <c r="AR39"/>
  <c r="AQ39"/>
  <c r="AO39"/>
  <c r="AN39"/>
  <c r="V39"/>
  <c r="O39"/>
  <c r="AS38"/>
  <c r="AR38"/>
  <c r="AQ38"/>
  <c r="AO38"/>
  <c r="AN38"/>
  <c r="H38"/>
  <c r="AS37"/>
  <c r="AR37"/>
  <c r="AQ37"/>
  <c r="AO37"/>
  <c r="AN37"/>
  <c r="AS36"/>
  <c r="AR36"/>
  <c r="AQ36"/>
  <c r="AO36"/>
  <c r="AN36"/>
  <c r="H36"/>
  <c r="AS35"/>
  <c r="AR35"/>
  <c r="AQ35"/>
  <c r="AO35"/>
  <c r="AN35"/>
  <c r="V35"/>
  <c r="O35"/>
  <c r="AS34"/>
  <c r="AR34"/>
  <c r="AQ34"/>
  <c r="AO34"/>
  <c r="AN34"/>
  <c r="AC34"/>
  <c r="AB34"/>
  <c r="AA34"/>
  <c r="Z34"/>
  <c r="H34"/>
  <c r="AS33"/>
  <c r="AR33"/>
  <c r="AQ33"/>
  <c r="AO33"/>
  <c r="AN33"/>
  <c r="W33"/>
  <c r="AS32"/>
  <c r="AR32"/>
  <c r="AQ32"/>
  <c r="AO32"/>
  <c r="AN32"/>
  <c r="AC32"/>
  <c r="AB32"/>
  <c r="AA32"/>
  <c r="Z32"/>
  <c r="H32"/>
  <c r="AS31"/>
  <c r="AR31"/>
  <c r="AQ31"/>
  <c r="AO31"/>
  <c r="AN31"/>
  <c r="O31"/>
  <c r="AS30"/>
  <c r="AR30"/>
  <c r="AQ30"/>
  <c r="AO30"/>
  <c r="AN30"/>
  <c r="H30"/>
  <c r="AS29"/>
  <c r="AR29"/>
  <c r="AQ29"/>
  <c r="AO29"/>
  <c r="AN29"/>
  <c r="AS28"/>
  <c r="AR28"/>
  <c r="AQ28"/>
  <c r="AO28"/>
  <c r="AN28"/>
  <c r="AS27"/>
  <c r="AR27"/>
  <c r="AQ27"/>
  <c r="AO27"/>
  <c r="AN27"/>
  <c r="AA27"/>
  <c r="Y27"/>
  <c r="AP54" s="1"/>
  <c r="T27"/>
  <c r="R27"/>
  <c r="CP123" s="1"/>
  <c r="M27"/>
  <c r="K27"/>
  <c r="CP121" s="1"/>
  <c r="F27"/>
  <c r="D27"/>
  <c r="CP119" s="1"/>
  <c r="AS26"/>
  <c r="AR26"/>
  <c r="AQ26"/>
  <c r="AO26"/>
  <c r="AN26"/>
  <c r="AA26"/>
  <c r="Y26"/>
  <c r="CO125" s="1"/>
  <c r="T26"/>
  <c r="R26"/>
  <c r="AP41" s="1"/>
  <c r="M26"/>
  <c r="K26"/>
  <c r="AP29" s="1"/>
  <c r="F26"/>
  <c r="D26"/>
  <c r="CO119" s="1"/>
  <c r="AS25"/>
  <c r="AR25"/>
  <c r="AQ25"/>
  <c r="AO25"/>
  <c r="AN25"/>
  <c r="AI25"/>
  <c r="AG25"/>
  <c r="AA25"/>
  <c r="Y25"/>
  <c r="AP52" s="1"/>
  <c r="T25"/>
  <c r="R25"/>
  <c r="CP122" s="1"/>
  <c r="M25"/>
  <c r="K25"/>
  <c r="CP120" s="1"/>
  <c r="F25"/>
  <c r="D25"/>
  <c r="CP118" s="1"/>
  <c r="AS24"/>
  <c r="AR24"/>
  <c r="AQ24"/>
  <c r="AO24"/>
  <c r="AN24"/>
  <c r="AK24"/>
  <c r="AI24"/>
  <c r="AG24"/>
  <c r="AA24"/>
  <c r="Y24"/>
  <c r="AP51" s="1"/>
  <c r="T24"/>
  <c r="AV39" s="1"/>
  <c r="R24"/>
  <c r="CO122" s="1"/>
  <c r="M24"/>
  <c r="K24"/>
  <c r="AP27" s="1"/>
  <c r="F24"/>
  <c r="D24"/>
  <c r="CO118" s="1"/>
  <c r="AS23"/>
  <c r="AR23"/>
  <c r="AQ23"/>
  <c r="AO23"/>
  <c r="AN23"/>
  <c r="AK23"/>
  <c r="AI23"/>
  <c r="AG23"/>
  <c r="AA23"/>
  <c r="Y23"/>
  <c r="CP117" s="1"/>
  <c r="T23"/>
  <c r="R23"/>
  <c r="CP115" s="1"/>
  <c r="M23"/>
  <c r="K23"/>
  <c r="CP113" s="1"/>
  <c r="F23"/>
  <c r="D23"/>
  <c r="CP111" s="1"/>
  <c r="AS22"/>
  <c r="AR22"/>
  <c r="AQ22"/>
  <c r="AO22"/>
  <c r="AN22"/>
  <c r="AK22"/>
  <c r="AI22"/>
  <c r="AG22"/>
  <c r="AA22"/>
  <c r="AV50" s="1"/>
  <c r="Y22"/>
  <c r="AP49" s="1"/>
  <c r="T22"/>
  <c r="AV37" s="1"/>
  <c r="R22"/>
  <c r="CO115" s="1"/>
  <c r="M22"/>
  <c r="K22"/>
  <c r="CO113" s="1"/>
  <c r="F22"/>
  <c r="D22"/>
  <c r="CO111" s="1"/>
  <c r="AS21"/>
  <c r="AR21"/>
  <c r="AQ21"/>
  <c r="AO21"/>
  <c r="AN21"/>
  <c r="AK21"/>
  <c r="AI21"/>
  <c r="AG21"/>
  <c r="AA21"/>
  <c r="Y21"/>
  <c r="CP116" s="1"/>
  <c r="T21"/>
  <c r="R21"/>
  <c r="CP114" s="1"/>
  <c r="M21"/>
  <c r="K21"/>
  <c r="AP24" s="1"/>
  <c r="F21"/>
  <c r="D21"/>
  <c r="CP110" s="1"/>
  <c r="AS20"/>
  <c r="AR20"/>
  <c r="AQ20"/>
  <c r="AO20"/>
  <c r="AN20"/>
  <c r="AI20"/>
  <c r="AG20"/>
  <c r="AA20"/>
  <c r="Y20"/>
  <c r="AP47" s="1"/>
  <c r="T20"/>
  <c r="R20"/>
  <c r="AP35" s="1"/>
  <c r="M20"/>
  <c r="K20"/>
  <c r="CO112" s="1"/>
  <c r="F20"/>
  <c r="D20"/>
  <c r="AP11" s="1"/>
  <c r="AS19"/>
  <c r="AR19"/>
  <c r="AQ19"/>
  <c r="AO19"/>
  <c r="AN19"/>
  <c r="AK19"/>
  <c r="AI19"/>
  <c r="AG19"/>
  <c r="AA19"/>
  <c r="Y19"/>
  <c r="CP109" s="1"/>
  <c r="T19"/>
  <c r="R19"/>
  <c r="CP107" s="1"/>
  <c r="M19"/>
  <c r="K19"/>
  <c r="CP105" s="1"/>
  <c r="F19"/>
  <c r="D19"/>
  <c r="CP103" s="1"/>
  <c r="AS18"/>
  <c r="AR18"/>
  <c r="AQ18"/>
  <c r="AO18"/>
  <c r="AN18"/>
  <c r="AK18"/>
  <c r="AI18"/>
  <c r="AG18"/>
  <c r="AA18"/>
  <c r="Y18"/>
  <c r="CO109" s="1"/>
  <c r="T18"/>
  <c r="R18"/>
  <c r="CO107" s="1"/>
  <c r="M18"/>
  <c r="K18"/>
  <c r="AP21" s="1"/>
  <c r="F18"/>
  <c r="AY9" s="1"/>
  <c r="D18"/>
  <c r="AP9" s="1"/>
  <c r="AS17"/>
  <c r="AR17"/>
  <c r="AQ17"/>
  <c r="AO17"/>
  <c r="AN17"/>
  <c r="AK17"/>
  <c r="AI17"/>
  <c r="AG17"/>
  <c r="AA17"/>
  <c r="Y17"/>
  <c r="CP108" s="1"/>
  <c r="T17"/>
  <c r="R17"/>
  <c r="AP32" s="1"/>
  <c r="M17"/>
  <c r="K17"/>
  <c r="CP104" s="1"/>
  <c r="F17"/>
  <c r="D17"/>
  <c r="CP102" s="1"/>
  <c r="AS16"/>
  <c r="AR16"/>
  <c r="AQ16"/>
  <c r="AO16"/>
  <c r="AN16"/>
  <c r="AK16"/>
  <c r="AI16"/>
  <c r="AG16"/>
  <c r="AA16"/>
  <c r="Y16"/>
  <c r="AP43" s="1"/>
  <c r="T16"/>
  <c r="R16"/>
  <c r="CO106" s="1"/>
  <c r="M16"/>
  <c r="K16"/>
  <c r="AP19" s="1"/>
  <c r="F16"/>
  <c r="D16"/>
  <c r="AP7" s="1"/>
  <c r="AS15"/>
  <c r="AR15"/>
  <c r="AQ15"/>
  <c r="AP15"/>
  <c r="AO15"/>
  <c r="AN15"/>
  <c r="AI15"/>
  <c r="AG15"/>
  <c r="AS14"/>
  <c r="AR14"/>
  <c r="AQ14"/>
  <c r="AO14"/>
  <c r="AN14"/>
  <c r="AK14"/>
  <c r="AI14"/>
  <c r="AG14"/>
  <c r="AS13"/>
  <c r="AR13"/>
  <c r="AQ13"/>
  <c r="AP13"/>
  <c r="AO13"/>
  <c r="AN13"/>
  <c r="AK13"/>
  <c r="AI13"/>
  <c r="AG13"/>
  <c r="AS12"/>
  <c r="AR12"/>
  <c r="AQ12"/>
  <c r="AP12"/>
  <c r="AO12"/>
  <c r="AN12"/>
  <c r="AK12"/>
  <c r="AI12"/>
  <c r="AG12"/>
  <c r="AV11"/>
  <c r="AS11"/>
  <c r="AR11"/>
  <c r="AQ11"/>
  <c r="AO11"/>
  <c r="AN11"/>
  <c r="AK11"/>
  <c r="AI11"/>
  <c r="AG11"/>
  <c r="AS10"/>
  <c r="AR10"/>
  <c r="AQ10"/>
  <c r="AO10"/>
  <c r="AN10"/>
  <c r="AI10"/>
  <c r="AG10"/>
  <c r="AS9"/>
  <c r="AR9"/>
  <c r="AQ9"/>
  <c r="AO9"/>
  <c r="AN9"/>
  <c r="AS8"/>
  <c r="AR8"/>
  <c r="AQ8"/>
  <c r="AO8"/>
  <c r="AN8"/>
  <c r="AS7"/>
  <c r="AR7"/>
  <c r="AQ7"/>
  <c r="AO7"/>
  <c r="AN7"/>
  <c r="AP16" l="1"/>
  <c r="AV16"/>
  <c r="AC7"/>
  <c r="H7"/>
  <c r="AT48"/>
  <c r="AY46"/>
  <c r="AC8"/>
  <c r="AC10"/>
  <c r="AC9"/>
  <c r="AY32"/>
  <c r="V7"/>
  <c r="H10"/>
  <c r="V10"/>
  <c r="H8"/>
  <c r="V8"/>
  <c r="H9"/>
  <c r="V9"/>
  <c r="AX25"/>
  <c r="O9"/>
  <c r="AY22"/>
  <c r="O8"/>
  <c r="O10"/>
  <c r="O7"/>
  <c r="AY42"/>
  <c r="AY10"/>
  <c r="AV12"/>
  <c r="AY36"/>
  <c r="AY24"/>
  <c r="AX47"/>
  <c r="AT24"/>
  <c r="AV9"/>
  <c r="AV43"/>
  <c r="AU10"/>
  <c r="AT9"/>
  <c r="AV10"/>
  <c r="AP17"/>
  <c r="AX23"/>
  <c r="AY28"/>
  <c r="AX52"/>
  <c r="AY30"/>
  <c r="AY54"/>
  <c r="AV19"/>
  <c r="AY34"/>
  <c r="AP18"/>
  <c r="AT10"/>
  <c r="AU47"/>
  <c r="AP22"/>
  <c r="AT22"/>
  <c r="AY25"/>
  <c r="AZ25" s="1"/>
  <c r="AX26"/>
  <c r="AV31"/>
  <c r="AP48"/>
  <c r="AV54"/>
  <c r="CP112"/>
  <c r="AU9"/>
  <c r="AX10"/>
  <c r="AP14"/>
  <c r="AX20"/>
  <c r="AP23"/>
  <c r="AT23"/>
  <c r="AX24"/>
  <c r="AU25"/>
  <c r="AP26"/>
  <c r="AT26"/>
  <c r="AV28"/>
  <c r="AV32"/>
  <c r="AP38"/>
  <c r="AX44"/>
  <c r="AY51"/>
  <c r="AY52"/>
  <c r="BB127"/>
  <c r="CO105"/>
  <c r="CO117"/>
  <c r="CP125"/>
  <c r="AP20"/>
  <c r="AT20"/>
  <c r="AX21"/>
  <c r="AV18"/>
  <c r="AV42"/>
  <c r="AY29"/>
  <c r="AV33"/>
  <c r="AP44"/>
  <c r="AT44"/>
  <c r="AV46"/>
  <c r="AU51"/>
  <c r="AU52"/>
  <c r="AX9"/>
  <c r="AZ9" s="1"/>
  <c r="AY12"/>
  <c r="AT21"/>
  <c r="AX22"/>
  <c r="AU29"/>
  <c r="AV30"/>
  <c r="AV34"/>
  <c r="AP40"/>
  <c r="AY47"/>
  <c r="AX48"/>
  <c r="BB101"/>
  <c r="CO104"/>
  <c r="CO124"/>
  <c r="AV8"/>
  <c r="AY14"/>
  <c r="AV13"/>
  <c r="AV14"/>
  <c r="AU8"/>
  <c r="AV7"/>
  <c r="AT8"/>
  <c r="AY8"/>
  <c r="AU7"/>
  <c r="AY7"/>
  <c r="AX8"/>
  <c r="AT7"/>
  <c r="AX7"/>
  <c r="AU35"/>
  <c r="AT38"/>
  <c r="AX38"/>
  <c r="AT40"/>
  <c r="AU41"/>
  <c r="AY41"/>
  <c r="CP106"/>
  <c r="CO110"/>
  <c r="AP8"/>
  <c r="AP10"/>
  <c r="AT11"/>
  <c r="AX11"/>
  <c r="AT12"/>
  <c r="AX12"/>
  <c r="AT13"/>
  <c r="AX13"/>
  <c r="AT14"/>
  <c r="AX14"/>
  <c r="AU15"/>
  <c r="AY15"/>
  <c r="AU16"/>
  <c r="AW16" s="1"/>
  <c r="AY16"/>
  <c r="AU17"/>
  <c r="AY17"/>
  <c r="AU18"/>
  <c r="AY18"/>
  <c r="AU19"/>
  <c r="AY19"/>
  <c r="AV20"/>
  <c r="AV21"/>
  <c r="AV22"/>
  <c r="AV23"/>
  <c r="AV24"/>
  <c r="AV26"/>
  <c r="AU27"/>
  <c r="AY27"/>
  <c r="AP28"/>
  <c r="AT28"/>
  <c r="AX28"/>
  <c r="AP30"/>
  <c r="AT30"/>
  <c r="AX30"/>
  <c r="AP31"/>
  <c r="AT31"/>
  <c r="AX31"/>
  <c r="AT32"/>
  <c r="AX32"/>
  <c r="AP33"/>
  <c r="AT33"/>
  <c r="AX33"/>
  <c r="AP34"/>
  <c r="AT34"/>
  <c r="AX34"/>
  <c r="AP36"/>
  <c r="AT36"/>
  <c r="AX36"/>
  <c r="AZ36" s="1"/>
  <c r="AU37"/>
  <c r="AW37" s="1"/>
  <c r="AY37"/>
  <c r="AV38"/>
  <c r="AU39"/>
  <c r="AW39" s="1"/>
  <c r="AY39"/>
  <c r="AV40"/>
  <c r="AP42"/>
  <c r="AT42"/>
  <c r="AX42"/>
  <c r="AU43"/>
  <c r="AW43" s="1"/>
  <c r="AY43"/>
  <c r="AV44"/>
  <c r="AU45"/>
  <c r="AY45"/>
  <c r="AP46"/>
  <c r="AT46"/>
  <c r="AX46"/>
  <c r="AV48"/>
  <c r="AU49"/>
  <c r="AY49"/>
  <c r="AU50"/>
  <c r="AW50" s="1"/>
  <c r="AY50"/>
  <c r="AU53"/>
  <c r="AY53"/>
  <c r="AT54"/>
  <c r="AX54"/>
  <c r="CO102"/>
  <c r="CO108"/>
  <c r="CO114"/>
  <c r="CO120"/>
  <c r="CO121"/>
  <c r="AY35"/>
  <c r="AT15"/>
  <c r="AX15"/>
  <c r="AT16"/>
  <c r="AX16"/>
  <c r="AT17"/>
  <c r="AX17"/>
  <c r="AT18"/>
  <c r="AX18"/>
  <c r="AT19"/>
  <c r="AX19"/>
  <c r="AU20"/>
  <c r="AY20"/>
  <c r="AU21"/>
  <c r="AY21"/>
  <c r="AU22"/>
  <c r="AU23"/>
  <c r="AY23"/>
  <c r="AU24"/>
  <c r="AV25"/>
  <c r="AU26"/>
  <c r="AY26"/>
  <c r="AT27"/>
  <c r="AX27"/>
  <c r="AV29"/>
  <c r="AV35"/>
  <c r="AP37"/>
  <c r="AT37"/>
  <c r="AX37"/>
  <c r="AU38"/>
  <c r="AY38"/>
  <c r="AP39"/>
  <c r="AT39"/>
  <c r="AX39"/>
  <c r="AZ39" s="1"/>
  <c r="AU40"/>
  <c r="AY40"/>
  <c r="AV41"/>
  <c r="AT43"/>
  <c r="AX43"/>
  <c r="AU44"/>
  <c r="AY44"/>
  <c r="AP45"/>
  <c r="AT45"/>
  <c r="AX45"/>
  <c r="AV47"/>
  <c r="AU48"/>
  <c r="AY48"/>
  <c r="AT49"/>
  <c r="AX49"/>
  <c r="AZ49" s="1"/>
  <c r="AP50"/>
  <c r="AT50"/>
  <c r="AX50"/>
  <c r="AV51"/>
  <c r="AV52"/>
  <c r="AP53"/>
  <c r="AT53"/>
  <c r="AX53"/>
  <c r="AZ53" s="1"/>
  <c r="CO103"/>
  <c r="CO116"/>
  <c r="CO123"/>
  <c r="CP124"/>
  <c r="AV36"/>
  <c r="AX40"/>
  <c r="AU11"/>
  <c r="AW11" s="1"/>
  <c r="AY11"/>
  <c r="AU12"/>
  <c r="AU13"/>
  <c r="AY13"/>
  <c r="AU14"/>
  <c r="AV15"/>
  <c r="AV17"/>
  <c r="AP25"/>
  <c r="AT25"/>
  <c r="AV27"/>
  <c r="AU28"/>
  <c r="AT29"/>
  <c r="AX29"/>
  <c r="AU30"/>
  <c r="AU31"/>
  <c r="AY31"/>
  <c r="AU32"/>
  <c r="AU33"/>
  <c r="AY33"/>
  <c r="AU34"/>
  <c r="AT35"/>
  <c r="AX35"/>
  <c r="AU36"/>
  <c r="AT41"/>
  <c r="AX41"/>
  <c r="AU42"/>
  <c r="AV45"/>
  <c r="AU46"/>
  <c r="AT47"/>
  <c r="AV49"/>
  <c r="AT51"/>
  <c r="AX51"/>
  <c r="AT52"/>
  <c r="AV53"/>
  <c r="AU54"/>
  <c r="K12" l="1"/>
  <c r="C38" s="1"/>
  <c r="CO128" s="1"/>
  <c r="K13"/>
  <c r="C32" s="1"/>
  <c r="CP126" s="1"/>
  <c r="K14"/>
  <c r="K15"/>
  <c r="Y12"/>
  <c r="C44" s="1"/>
  <c r="CP129" s="1"/>
  <c r="AW31"/>
  <c r="I86"/>
  <c r="Y13"/>
  <c r="C34" s="1"/>
  <c r="CO127" s="1"/>
  <c r="Y15"/>
  <c r="I98" s="1"/>
  <c r="CP143" s="1"/>
  <c r="R12"/>
  <c r="C36" s="1"/>
  <c r="R13"/>
  <c r="C42" s="1"/>
  <c r="R14"/>
  <c r="R15"/>
  <c r="I94" s="1"/>
  <c r="AZ47"/>
  <c r="Y14"/>
  <c r="I80" s="1"/>
  <c r="CP139" s="1"/>
  <c r="C30"/>
  <c r="AZ32"/>
  <c r="C40"/>
  <c r="I68"/>
  <c r="AZ35"/>
  <c r="AZ46"/>
  <c r="AZ42"/>
  <c r="I72"/>
  <c r="CP138" s="1"/>
  <c r="I90"/>
  <c r="CP142" s="1"/>
  <c r="AZ28"/>
  <c r="AZ22"/>
  <c r="AW28"/>
  <c r="AW25"/>
  <c r="AW19"/>
  <c r="AW20"/>
  <c r="AW23"/>
  <c r="AZ30"/>
  <c r="AW30"/>
  <c r="AW42"/>
  <c r="AW51"/>
  <c r="AW47"/>
  <c r="AZ54"/>
  <c r="AZ52"/>
  <c r="AW12"/>
  <c r="AZ40"/>
  <c r="AW24"/>
  <c r="AZ24"/>
  <c r="AZ10"/>
  <c r="AW54"/>
  <c r="AW13"/>
  <c r="AZ50"/>
  <c r="AZ45"/>
  <c r="AW9"/>
  <c r="AZ44"/>
  <c r="AZ37"/>
  <c r="AW26"/>
  <c r="AZ20"/>
  <c r="AZ18"/>
  <c r="AZ16"/>
  <c r="AW34"/>
  <c r="AW52"/>
  <c r="AW48"/>
  <c r="AZ23"/>
  <c r="AW21"/>
  <c r="AW32"/>
  <c r="AZ48"/>
  <c r="AW40"/>
  <c r="AZ34"/>
  <c r="AW18"/>
  <c r="AW29"/>
  <c r="AW10"/>
  <c r="AW17"/>
  <c r="AZ51"/>
  <c r="AZ26"/>
  <c r="AZ41"/>
  <c r="AZ29"/>
  <c r="AW14"/>
  <c r="AZ21"/>
  <c r="AZ19"/>
  <c r="AZ17"/>
  <c r="AZ15"/>
  <c r="AW41"/>
  <c r="AW46"/>
  <c r="AW38"/>
  <c r="AW33"/>
  <c r="AW44"/>
  <c r="AZ27"/>
  <c r="AZ12"/>
  <c r="AW8"/>
  <c r="AZ14"/>
  <c r="AZ13"/>
  <c r="AW7"/>
  <c r="AZ7"/>
  <c r="AZ8"/>
  <c r="AW15"/>
  <c r="AZ33"/>
  <c r="I76"/>
  <c r="AW49"/>
  <c r="AW35"/>
  <c r="AW36"/>
  <c r="AZ43"/>
  <c r="AW53"/>
  <c r="AW27"/>
  <c r="AW22"/>
  <c r="AW45"/>
  <c r="AZ31"/>
  <c r="AZ11"/>
  <c r="AZ38"/>
  <c r="CO129" l="1"/>
  <c r="I43"/>
  <c r="CO143"/>
  <c r="P96"/>
  <c r="CO139"/>
  <c r="P78"/>
  <c r="CP127"/>
  <c r="I35"/>
  <c r="CO138"/>
  <c r="P70"/>
  <c r="CO126"/>
  <c r="I31"/>
  <c r="CP128"/>
  <c r="I39"/>
  <c r="CO142"/>
  <c r="P88"/>
  <c r="CP130" l="1"/>
  <c r="I54"/>
  <c r="P41"/>
  <c r="CP133" s="1"/>
  <c r="BB133" s="1"/>
  <c r="CP131"/>
  <c r="I62"/>
  <c r="CP141"/>
  <c r="P76"/>
  <c r="CP145"/>
  <c r="P94"/>
  <c r="I58"/>
  <c r="CO131"/>
  <c r="CO141"/>
  <c r="X74"/>
  <c r="Y68" s="1"/>
  <c r="P72"/>
  <c r="I50"/>
  <c r="CO130"/>
  <c r="P33"/>
  <c r="P90"/>
  <c r="X92"/>
  <c r="Y86" s="1"/>
  <c r="CO145"/>
  <c r="P39" l="1"/>
  <c r="CP132" s="1"/>
  <c r="BB107" s="1"/>
  <c r="CP140"/>
  <c r="P74"/>
  <c r="Y70" s="1"/>
  <c r="CP144"/>
  <c r="P92"/>
  <c r="Y88" s="1"/>
  <c r="CP135"/>
  <c r="P60"/>
  <c r="CP137" s="1"/>
  <c r="CP134"/>
  <c r="P52"/>
  <c r="P54" s="1"/>
  <c r="CO136" s="1"/>
  <c r="BB144"/>
  <c r="BB139"/>
  <c r="BB149"/>
  <c r="Y69"/>
  <c r="CO140"/>
  <c r="CO135"/>
  <c r="CO134"/>
  <c r="P35"/>
  <c r="CO132" s="1"/>
  <c r="BB105" s="1"/>
  <c r="CO133"/>
  <c r="BB131" s="1"/>
  <c r="X37"/>
  <c r="Y31" s="1"/>
  <c r="CO144"/>
  <c r="Y87"/>
  <c r="P37" l="1"/>
  <c r="Y33" s="1"/>
  <c r="Y89"/>
  <c r="P58"/>
  <c r="Y71"/>
  <c r="CO137"/>
  <c r="X56"/>
  <c r="Y50" s="1"/>
  <c r="Y32"/>
  <c r="BB111"/>
  <c r="BB116"/>
  <c r="BB121"/>
  <c r="BB113"/>
  <c r="BB123"/>
  <c r="BB118"/>
  <c r="BB142"/>
  <c r="BB137"/>
  <c r="BB147"/>
  <c r="CP136"/>
  <c r="P56"/>
  <c r="Y52" s="1"/>
  <c r="Y34" l="1"/>
  <c r="Y51"/>
  <c r="Y53"/>
</calcChain>
</file>

<file path=xl/sharedStrings.xml><?xml version="1.0" encoding="utf-8"?>
<sst xmlns="http://schemas.openxmlformats.org/spreadsheetml/2006/main" count="921" uniqueCount="298">
  <si>
    <t>Classificação</t>
  </si>
  <si>
    <t>1º</t>
  </si>
  <si>
    <t>2º</t>
  </si>
  <si>
    <t>3º</t>
  </si>
  <si>
    <t>4º</t>
  </si>
  <si>
    <t>Vencedor</t>
  </si>
  <si>
    <t>V</t>
  </si>
  <si>
    <t>Grupo A</t>
  </si>
  <si>
    <t>Grupo B</t>
  </si>
  <si>
    <t>Grupo C</t>
  </si>
  <si>
    <t>Grupo D</t>
  </si>
  <si>
    <t>Atletas</t>
  </si>
  <si>
    <t>1º-</t>
  </si>
  <si>
    <t>2º-</t>
  </si>
  <si>
    <t>3º-</t>
  </si>
  <si>
    <t>4º-</t>
  </si>
  <si>
    <t>--  Classificação  --</t>
  </si>
  <si>
    <t>-</t>
  </si>
  <si>
    <t xml:space="preserve"> </t>
  </si>
  <si>
    <t xml:space="preserve">  </t>
  </si>
  <si>
    <t xml:space="preserve">      </t>
  </si>
  <si>
    <t>1º Set</t>
  </si>
  <si>
    <t>2º Set</t>
  </si>
  <si>
    <t>3º Set</t>
  </si>
  <si>
    <t>Vencedor --&gt;</t>
  </si>
  <si>
    <t>Masculinos</t>
  </si>
  <si>
    <t>BOLETIM DO JOGO :</t>
  </si>
  <si>
    <t>Nº Jogo</t>
  </si>
  <si>
    <t>Escalão</t>
  </si>
  <si>
    <t>Sexo</t>
  </si>
  <si>
    <t>Prova</t>
  </si>
  <si>
    <t>Singulares</t>
  </si>
  <si>
    <t>―</t>
  </si>
  <si>
    <t>Jogador(es) 1</t>
  </si>
  <si>
    <t>Jogador(es) 2</t>
  </si>
  <si>
    <t>Nome  /   Escola</t>
  </si>
  <si>
    <t>Árbitro: ________________________       Vencido: ____________________________</t>
  </si>
  <si>
    <t>5º</t>
  </si>
  <si>
    <t>6º</t>
  </si>
  <si>
    <t>7º</t>
  </si>
  <si>
    <t>8º</t>
  </si>
  <si>
    <t>J</t>
  </si>
  <si>
    <t>BE</t>
  </si>
  <si>
    <t>Grupo</t>
  </si>
  <si>
    <t>1ª
Ronda</t>
  </si>
  <si>
    <t>2ª
Ronda</t>
  </si>
  <si>
    <t>3ª
Ronda</t>
  </si>
  <si>
    <t>Nºs dos jogos do par de boletins a emitir.</t>
  </si>
  <si>
    <t>Controlar a emissão de boletins teclando "e" de "emitido" na coluna BE.</t>
  </si>
  <si>
    <t>Disputa 5º / 6º / 7º / 8º lugares</t>
  </si>
  <si>
    <t>5º/6º/7º/8º</t>
  </si>
  <si>
    <t>Jogo</t>
  </si>
  <si>
    <t>Resultados</t>
  </si>
  <si>
    <t>Desempate Fase Grupos</t>
  </si>
  <si>
    <t>Atleta/Par</t>
  </si>
  <si>
    <t>Sets G</t>
  </si>
  <si>
    <t>Sets P</t>
  </si>
  <si>
    <t>Saldo Sets</t>
  </si>
  <si>
    <t>Pont G</t>
  </si>
  <si>
    <t>Pont P</t>
  </si>
  <si>
    <t>Saldo Pontos</t>
  </si>
  <si>
    <t>Para diferenciar jogadores ou pares empatados na fase de grupos utilzar a ferramenta de "Filtro" em "Base"/"Ordenar e Filtrar"/"Filtrar" por forma a que, obedecendo aos critérios de desempate colocados aqui ao lado, se possam dempatar os jogadores/pares empatados.
Esta utilização dos filtros facilita muito mas é preciso saber o que se está a "fazer".</t>
  </si>
  <si>
    <t>Vit / Der</t>
  </si>
  <si>
    <t>Femininos</t>
  </si>
  <si>
    <r>
      <rPr>
        <b/>
        <sz val="10"/>
        <rFont val="Arial"/>
        <family val="2"/>
      </rPr>
      <t xml:space="preserve"> 
</t>
    </r>
    <r>
      <rPr>
        <b/>
        <sz val="10"/>
        <rFont val="Wingdings"/>
        <charset val="2"/>
      </rPr>
      <t>"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-----------------------------------------------------------------------------------------------------------------------------------------------------
</t>
    </r>
  </si>
  <si>
    <r>
      <rPr>
        <b/>
        <sz val="11"/>
        <rFont val="Arial"/>
        <family val="2"/>
      </rPr>
      <t>CAMPO</t>
    </r>
    <r>
      <rPr>
        <b/>
        <sz val="12"/>
        <rFont val="Arial"/>
        <family val="2"/>
      </rPr>
      <t>:</t>
    </r>
  </si>
  <si>
    <t>Disputa 9º / 10º / 11º / 12º lugares</t>
  </si>
  <si>
    <t>9º</t>
  </si>
  <si>
    <t>10º</t>
  </si>
  <si>
    <t>11º</t>
  </si>
  <si>
    <t>12º</t>
  </si>
  <si>
    <t>* Distribuir jogadores da mesma escola/CLDE/DRE por A e D ou por B e C.</t>
  </si>
  <si>
    <t xml:space="preserve">- - - - - - - - - - - - - - - - - - - - - - - - - - - - - - - - - - - - - - - - - - - - - - - - - - - - - - - - - - - - - - - - - - - - - - - - - </t>
  </si>
  <si>
    <t>Campo 1</t>
  </si>
  <si>
    <t>Campo 2</t>
  </si>
  <si>
    <t>Campo 3</t>
  </si>
  <si>
    <t>Campo 4</t>
  </si>
  <si>
    <t>Campo 5</t>
  </si>
  <si>
    <t>Campo 6</t>
  </si>
  <si>
    <t>Campo 7</t>
  </si>
  <si>
    <t>21 - Manhã</t>
  </si>
  <si>
    <t>21- Tarde</t>
  </si>
  <si>
    <t>22 - Manhã</t>
  </si>
  <si>
    <t>23-Tarde</t>
  </si>
  <si>
    <t>SH1</t>
  </si>
  <si>
    <t>SH2</t>
  </si>
  <si>
    <t>SH3</t>
  </si>
  <si>
    <t>SH4</t>
  </si>
  <si>
    <t>SH5</t>
  </si>
  <si>
    <t>SH6</t>
  </si>
  <si>
    <t>SH7</t>
  </si>
  <si>
    <t>SH8</t>
  </si>
  <si>
    <t>SH9</t>
  </si>
  <si>
    <t>SH10</t>
  </si>
  <si>
    <t>SH11</t>
  </si>
  <si>
    <t>SH12</t>
  </si>
  <si>
    <t>SH</t>
  </si>
  <si>
    <t>SH13</t>
  </si>
  <si>
    <t>SH14</t>
  </si>
  <si>
    <t>SH15</t>
  </si>
  <si>
    <t>SH16</t>
  </si>
  <si>
    <t>SH17</t>
  </si>
  <si>
    <t>SH18</t>
  </si>
  <si>
    <t>SH19</t>
  </si>
  <si>
    <t>SH20</t>
  </si>
  <si>
    <t>SH22</t>
  </si>
  <si>
    <t>SH21</t>
  </si>
  <si>
    <t>SH23</t>
  </si>
  <si>
    <t>SH24</t>
  </si>
  <si>
    <t>SH25</t>
  </si>
  <si>
    <t>SH26</t>
  </si>
  <si>
    <t>SH27</t>
  </si>
  <si>
    <t>SH28</t>
  </si>
  <si>
    <t>SS1</t>
  </si>
  <si>
    <t>SS2</t>
  </si>
  <si>
    <t>SS3</t>
  </si>
  <si>
    <t>SS4</t>
  </si>
  <si>
    <t>SS</t>
  </si>
  <si>
    <t>PH</t>
  </si>
  <si>
    <t>PS</t>
  </si>
  <si>
    <t>PM</t>
  </si>
  <si>
    <t>SS5</t>
  </si>
  <si>
    <t>SS6</t>
  </si>
  <si>
    <t>SS7</t>
  </si>
  <si>
    <t>SS8</t>
  </si>
  <si>
    <t>SS9</t>
  </si>
  <si>
    <t>SS10</t>
  </si>
  <si>
    <t>SS11</t>
  </si>
  <si>
    <t>SS12</t>
  </si>
  <si>
    <t>SS13</t>
  </si>
  <si>
    <t>SS14</t>
  </si>
  <si>
    <t>SS15</t>
  </si>
  <si>
    <t>SS16</t>
  </si>
  <si>
    <t>SS17</t>
  </si>
  <si>
    <t>SS18</t>
  </si>
  <si>
    <t>SS19</t>
  </si>
  <si>
    <t>SS20</t>
  </si>
  <si>
    <t>SS21</t>
  </si>
  <si>
    <t>SS22</t>
  </si>
  <si>
    <t>SS23</t>
  </si>
  <si>
    <t>SS24</t>
  </si>
  <si>
    <t>SS25</t>
  </si>
  <si>
    <t>SS26</t>
  </si>
  <si>
    <t>SS27</t>
  </si>
  <si>
    <t>SS28</t>
  </si>
  <si>
    <t>PH1</t>
  </si>
  <si>
    <t>PH2</t>
  </si>
  <si>
    <t>PH3</t>
  </si>
  <si>
    <t>PH4</t>
  </si>
  <si>
    <t>PH5</t>
  </si>
  <si>
    <t>PH6</t>
  </si>
  <si>
    <t>PH7</t>
  </si>
  <si>
    <t>PH8</t>
  </si>
  <si>
    <t>PH9</t>
  </si>
  <si>
    <t>PH10</t>
  </si>
  <si>
    <t>PH11</t>
  </si>
  <si>
    <t>PH12</t>
  </si>
  <si>
    <t>PH13</t>
  </si>
  <si>
    <t>PH14</t>
  </si>
  <si>
    <t>PH15</t>
  </si>
  <si>
    <t>PH16</t>
  </si>
  <si>
    <t>PH17</t>
  </si>
  <si>
    <t>PH18</t>
  </si>
  <si>
    <t>PH19</t>
  </si>
  <si>
    <t>PH20</t>
  </si>
  <si>
    <t>PH21</t>
  </si>
  <si>
    <t>PH22</t>
  </si>
  <si>
    <t>PH23</t>
  </si>
  <si>
    <t>PH24</t>
  </si>
  <si>
    <t>PH25</t>
  </si>
  <si>
    <t>PH26</t>
  </si>
  <si>
    <t>PH27</t>
  </si>
  <si>
    <t>PH28</t>
  </si>
  <si>
    <t>PS1</t>
  </si>
  <si>
    <t>PS2</t>
  </si>
  <si>
    <t>PS3</t>
  </si>
  <si>
    <t>PS4</t>
  </si>
  <si>
    <t>PS5</t>
  </si>
  <si>
    <t>PS6</t>
  </si>
  <si>
    <t>PS7</t>
  </si>
  <si>
    <t>PS8</t>
  </si>
  <si>
    <t>PS9</t>
  </si>
  <si>
    <t>PS10</t>
  </si>
  <si>
    <t>PS11</t>
  </si>
  <si>
    <t>PS12</t>
  </si>
  <si>
    <t>PS13</t>
  </si>
  <si>
    <t>PS14</t>
  </si>
  <si>
    <t>PS15</t>
  </si>
  <si>
    <t>PS16</t>
  </si>
  <si>
    <t>PS17</t>
  </si>
  <si>
    <t>PS18</t>
  </si>
  <si>
    <t>PS19</t>
  </si>
  <si>
    <t>PS20</t>
  </si>
  <si>
    <t>PS21</t>
  </si>
  <si>
    <t>PS22</t>
  </si>
  <si>
    <t>PS23</t>
  </si>
  <si>
    <t>PS24</t>
  </si>
  <si>
    <t>PS25</t>
  </si>
  <si>
    <t>PS26</t>
  </si>
  <si>
    <t>PS27</t>
  </si>
  <si>
    <t>PS28</t>
  </si>
  <si>
    <t>PM1</t>
  </si>
  <si>
    <t>PM2</t>
  </si>
  <si>
    <t>PM3</t>
  </si>
  <si>
    <t>PM4</t>
  </si>
  <si>
    <t>PM5</t>
  </si>
  <si>
    <t>PM6</t>
  </si>
  <si>
    <t>PM7</t>
  </si>
  <si>
    <t>PM8</t>
  </si>
  <si>
    <t>PM9</t>
  </si>
  <si>
    <t>PM10</t>
  </si>
  <si>
    <t>PM11</t>
  </si>
  <si>
    <t>PM12</t>
  </si>
  <si>
    <t>PM13</t>
  </si>
  <si>
    <t>PM14</t>
  </si>
  <si>
    <t>PM15</t>
  </si>
  <si>
    <t>PM16</t>
  </si>
  <si>
    <t>PM17</t>
  </si>
  <si>
    <t>PM18</t>
  </si>
  <si>
    <t>PM19</t>
  </si>
  <si>
    <t>PM20</t>
  </si>
  <si>
    <t>PM21</t>
  </si>
  <si>
    <t>PM22</t>
  </si>
  <si>
    <t>PM23</t>
  </si>
  <si>
    <t>PM24</t>
  </si>
  <si>
    <t>PM25</t>
  </si>
  <si>
    <t>PM26</t>
  </si>
  <si>
    <t>PM27</t>
  </si>
  <si>
    <t>PM28</t>
  </si>
  <si>
    <t>Calendário Geral</t>
  </si>
  <si>
    <t>9º/10º/11º/12º</t>
  </si>
  <si>
    <t>Disputa 13º / 14º / 15º / 16º lugares</t>
  </si>
  <si>
    <t>13º</t>
  </si>
  <si>
    <t>14º</t>
  </si>
  <si>
    <t>15º</t>
  </si>
  <si>
    <t>16º</t>
  </si>
  <si>
    <t>13º/14º/15º/16º</t>
  </si>
  <si>
    <t>Boletim 1</t>
  </si>
  <si>
    <t>Boletim 2</t>
  </si>
  <si>
    <t>Campeonato Nacional</t>
  </si>
  <si>
    <t>Sines, 22-25  Junho 2016</t>
  </si>
  <si>
    <t>Iniciados</t>
  </si>
  <si>
    <t>Francisco Moreira (DSRNorte)</t>
  </si>
  <si>
    <t>Helder Ribeiro (DSRNorte)</t>
  </si>
  <si>
    <t>Paulo Gonçalves (DSRNorte)</t>
  </si>
  <si>
    <t>Alexandre Tavares (DSRNorte)</t>
  </si>
  <si>
    <t>Pedro Nunes (DSRCentro)</t>
  </si>
  <si>
    <t>Rafael Riscado (DSRCentro)</t>
  </si>
  <si>
    <t>Gonçalo Gomes (DSRLisboa)</t>
  </si>
  <si>
    <t>Francisco Seita (DSRLisboa)</t>
  </si>
  <si>
    <t>Rodrigo Ribeiro (DSRLisboa)</t>
  </si>
  <si>
    <t>Vasco Murteira (DSRLisboa)</t>
  </si>
  <si>
    <t>Simão Boavista (DSRAlentejo)</t>
  </si>
  <si>
    <t>Joana Eduardo (DSRLisboa)</t>
  </si>
  <si>
    <t>Mariana Afonso (DSRLisboa)</t>
  </si>
  <si>
    <t>Filipa Pinto (DSRLisboa)</t>
  </si>
  <si>
    <t>Patrícia Silva (DSRAlentejo)</t>
  </si>
  <si>
    <t>Nara Silva (DSRAlgarve)</t>
  </si>
  <si>
    <t>Mariana Eiras (DSRNorte)</t>
  </si>
  <si>
    <t>Gisela Mouteira (DSRNorte)</t>
  </si>
  <si>
    <t>Aida Nunes (DSRNorte)</t>
  </si>
  <si>
    <t>Pares</t>
  </si>
  <si>
    <t>Mistos</t>
  </si>
  <si>
    <t>A Grilo/D Monteiro (Lisboa)</t>
  </si>
  <si>
    <t>J Boaventura/P Gonçalves (Norte)</t>
  </si>
  <si>
    <t>A Ferreira/P Nunes (Centro)</t>
  </si>
  <si>
    <t>V Murteira/V Vicente (Lisboa)</t>
  </si>
  <si>
    <t>F Moreira/H Ribeiro (Norte)</t>
  </si>
  <si>
    <t>L Macrino/G Moita (Lisboa)</t>
  </si>
  <si>
    <t>M Pinela/S Boavista (Alentejo)</t>
  </si>
  <si>
    <t>A Carvalho/A Lisboa (Lisboa)</t>
  </si>
  <si>
    <t>M Henriques/M Afonso (Lisboa)</t>
  </si>
  <si>
    <t>A Costa/M Gomes (Centro)</t>
  </si>
  <si>
    <t>A Pereira/B Pereira (Norte)</t>
  </si>
  <si>
    <t>A Nunes/S Barros (Norte)</t>
  </si>
  <si>
    <t>I Folgado/C Aragonês (Alentejo)</t>
  </si>
  <si>
    <t>D Pereira/M Conceição (Centro)</t>
  </si>
  <si>
    <t>A Vitó/M Neves (Norte)</t>
  </si>
  <si>
    <t>A Rodrigues/R Pinto (Lisboa)</t>
  </si>
  <si>
    <t>C Abreu/M Marques (Lisboa)</t>
  </si>
  <si>
    <t>G Mouteira/M Maia (Norte)</t>
  </si>
  <si>
    <t>J Eduardo/G Gomes (Lisboa)</t>
  </si>
  <si>
    <t>F Monteiro/B Campos (Norte)</t>
  </si>
  <si>
    <t>L Pascoal/P Bezerra (Alentejo)</t>
  </si>
  <si>
    <t>M Vieira/L Nunes (Centro)</t>
  </si>
  <si>
    <t>I Medeiros/G Roberto (Lisboa)</t>
  </si>
  <si>
    <t>A Ferreira/J Lopes (Norte)</t>
  </si>
  <si>
    <t>M Eiras/S Veiga (Norte)</t>
  </si>
  <si>
    <t>N Silva/F Silva (Algarve)</t>
  </si>
  <si>
    <t>M Henriques/F Seita (Lisboa)</t>
  </si>
  <si>
    <t>M Maia/A Bacelar (Norte)</t>
  </si>
  <si>
    <t>David Duarte (DSRAlgarve)</t>
  </si>
  <si>
    <t>Mariana Neves (DSRNorte)</t>
  </si>
  <si>
    <t>Alexandra Alves (DSRCentro)</t>
  </si>
  <si>
    <t>G Almeida/H Aston (Norte)</t>
  </si>
  <si>
    <t>D Mackaaij/J Arez (Algarve)</t>
  </si>
  <si>
    <t>S Anica/S Anica (Lisboa)</t>
  </si>
  <si>
    <t>L Pala/F Silva (Centro)</t>
  </si>
</sst>
</file>

<file path=xl/styles.xml><?xml version="1.0" encoding="utf-8"?>
<styleSheet xmlns="http://schemas.openxmlformats.org/spreadsheetml/2006/main">
  <fonts count="49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2"/>
      <color indexed="60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7"/>
      <color indexed="12"/>
      <name val="Calibri"/>
      <family val="2"/>
      <scheme val="minor"/>
    </font>
    <font>
      <b/>
      <u/>
      <sz val="9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color indexed="5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indexed="60"/>
      <name val="Calibri"/>
      <family val="2"/>
    </font>
    <font>
      <b/>
      <sz val="8"/>
      <color indexed="12"/>
      <name val="Calibri"/>
      <family val="2"/>
      <scheme val="minor"/>
    </font>
    <font>
      <b/>
      <u/>
      <sz val="10"/>
      <color indexed="8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10"/>
      <name val="Wingdings"/>
      <charset val="2"/>
    </font>
    <font>
      <sz val="8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12"/>
      <name val="Calibri"/>
      <family val="2"/>
    </font>
    <font>
      <sz val="7"/>
      <name val="Arial"/>
      <family val="2"/>
    </font>
    <font>
      <b/>
      <sz val="8"/>
      <color rgb="FFFF0000"/>
      <name val="Gill Sans MT"/>
      <family val="2"/>
    </font>
    <font>
      <i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6795556505021"/>
        <bgColor indexed="9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7" fillId="0" borderId="0"/>
    <xf numFmtId="0" fontId="1" fillId="0" borderId="0"/>
    <xf numFmtId="0" fontId="1" fillId="0" borderId="0"/>
  </cellStyleXfs>
  <cellXfs count="465">
    <xf numFmtId="0" fontId="0" fillId="0" borderId="0" xfId="0"/>
    <xf numFmtId="0" fontId="5" fillId="0" borderId="0" xfId="0" applyFont="1" applyProtection="1">
      <protection hidden="1"/>
    </xf>
    <xf numFmtId="0" fontId="5" fillId="0" borderId="32" xfId="0" applyFont="1" applyBorder="1" applyAlignment="1" applyProtection="1">
      <alignment horizontal="left" vertical="center"/>
      <protection hidden="1"/>
    </xf>
    <xf numFmtId="0" fontId="5" fillId="0" borderId="3" xfId="0" applyFont="1" applyBorder="1" applyProtection="1">
      <protection hidden="1"/>
    </xf>
    <xf numFmtId="0" fontId="10" fillId="5" borderId="21" xfId="0" applyFont="1" applyFill="1" applyBorder="1" applyAlignment="1" applyProtection="1">
      <alignment horizontal="center" vertical="center"/>
      <protection hidden="1"/>
    </xf>
    <xf numFmtId="0" fontId="9" fillId="0" borderId="11" xfId="0" applyFont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horizontal="left" vertical="center"/>
      <protection hidden="1"/>
    </xf>
    <xf numFmtId="0" fontId="5" fillId="0" borderId="5" xfId="0" quotePrefix="1" applyFont="1" applyBorder="1" applyAlignment="1" applyProtection="1">
      <alignment horizontal="center" vertical="center"/>
      <protection hidden="1"/>
    </xf>
    <xf numFmtId="0" fontId="5" fillId="0" borderId="22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vertical="center"/>
      <protection hidden="1"/>
    </xf>
    <xf numFmtId="0" fontId="4" fillId="5" borderId="20" xfId="0" applyFont="1" applyFill="1" applyBorder="1" applyAlignment="1" applyProtection="1">
      <alignment horizontal="left" vertical="center"/>
      <protection hidden="1"/>
    </xf>
    <xf numFmtId="0" fontId="5" fillId="5" borderId="10" xfId="0" applyFont="1" applyFill="1" applyBorder="1" applyAlignment="1" applyProtection="1">
      <alignment vertical="center"/>
      <protection hidden="1"/>
    </xf>
    <xf numFmtId="0" fontId="14" fillId="0" borderId="20" xfId="0" applyFont="1" applyFill="1" applyBorder="1" applyAlignment="1" applyProtection="1">
      <alignment horizontal="left" vertical="center"/>
      <protection hidden="1"/>
    </xf>
    <xf numFmtId="0" fontId="5" fillId="0" borderId="10" xfId="0" applyFont="1" applyFill="1" applyBorder="1" applyAlignment="1" applyProtection="1">
      <alignment vertical="center"/>
      <protection hidden="1"/>
    </xf>
    <xf numFmtId="0" fontId="14" fillId="0" borderId="20" xfId="0" applyFont="1" applyBorder="1" applyAlignment="1" applyProtection="1">
      <alignment horizontal="left" vertical="top"/>
      <protection hidden="1"/>
    </xf>
    <xf numFmtId="0" fontId="5" fillId="0" borderId="10" xfId="0" applyFont="1" applyBorder="1" applyAlignment="1" applyProtection="1">
      <alignment vertical="top"/>
      <protection hidden="1"/>
    </xf>
    <xf numFmtId="0" fontId="14" fillId="0" borderId="20" xfId="0" applyFont="1" applyFill="1" applyBorder="1" applyAlignment="1" applyProtection="1">
      <alignment horizontal="left" vertical="top"/>
      <protection hidden="1"/>
    </xf>
    <xf numFmtId="0" fontId="5" fillId="0" borderId="10" xfId="0" applyFont="1" applyFill="1" applyBorder="1" applyAlignment="1" applyProtection="1">
      <alignment vertical="top"/>
      <protection hidden="1"/>
    </xf>
    <xf numFmtId="0" fontId="10" fillId="6" borderId="50" xfId="0" applyFont="1" applyFill="1" applyBorder="1" applyAlignment="1" applyProtection="1">
      <alignment horizontal="center" vertical="center"/>
      <protection hidden="1"/>
    </xf>
    <xf numFmtId="0" fontId="10" fillId="6" borderId="51" xfId="0" applyFont="1" applyFill="1" applyBorder="1" applyAlignment="1" applyProtection="1">
      <alignment horizontal="center" vertical="center"/>
      <protection hidden="1"/>
    </xf>
    <xf numFmtId="0" fontId="10" fillId="5" borderId="52" xfId="0" applyFont="1" applyFill="1" applyBorder="1" applyAlignment="1" applyProtection="1">
      <alignment horizontal="center" vertical="center"/>
      <protection hidden="1"/>
    </xf>
    <xf numFmtId="0" fontId="10" fillId="5" borderId="51" xfId="0" applyFont="1" applyFill="1" applyBorder="1" applyAlignment="1" applyProtection="1">
      <alignment horizontal="center" vertical="center"/>
      <protection hidden="1"/>
    </xf>
    <xf numFmtId="0" fontId="10" fillId="4" borderId="53" xfId="0" applyFont="1" applyFill="1" applyBorder="1" applyAlignment="1" applyProtection="1">
      <alignment horizontal="center" vertical="center"/>
      <protection hidden="1"/>
    </xf>
    <xf numFmtId="0" fontId="10" fillId="4" borderId="51" xfId="0" applyFont="1" applyFill="1" applyBorder="1" applyAlignment="1" applyProtection="1">
      <alignment horizontal="center" vertical="center"/>
      <protection hidden="1"/>
    </xf>
    <xf numFmtId="0" fontId="10" fillId="2" borderId="52" xfId="0" applyFont="1" applyFill="1" applyBorder="1" applyAlignment="1" applyProtection="1">
      <alignment horizontal="center" vertical="center"/>
      <protection hidden="1"/>
    </xf>
    <xf numFmtId="0" fontId="10" fillId="2" borderId="54" xfId="0" applyFont="1" applyFill="1" applyBorder="1" applyAlignment="1" applyProtection="1">
      <alignment horizontal="center" vertical="center"/>
      <protection hidden="1"/>
    </xf>
    <xf numFmtId="0" fontId="10" fillId="5" borderId="55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12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8" fillId="3" borderId="6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Protection="1">
      <protection hidden="1"/>
    </xf>
    <xf numFmtId="0" fontId="9" fillId="0" borderId="2" xfId="0" applyFont="1" applyBorder="1" applyAlignment="1" applyProtection="1">
      <alignment horizontal="right"/>
      <protection hidden="1"/>
    </xf>
    <xf numFmtId="0" fontId="8" fillId="3" borderId="9" xfId="0" applyFont="1" applyFill="1" applyBorder="1" applyAlignment="1" applyProtection="1">
      <alignment horizontal="center" vertical="center"/>
      <protection hidden="1"/>
    </xf>
    <xf numFmtId="0" fontId="16" fillId="5" borderId="45" xfId="0" applyFont="1" applyFill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left"/>
      <protection hidden="1"/>
    </xf>
    <xf numFmtId="0" fontId="9" fillId="0" borderId="2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0" fillId="5" borderId="48" xfId="0" applyFont="1" applyFill="1" applyBorder="1" applyAlignment="1" applyProtection="1">
      <alignment horizontal="center" vertical="center"/>
      <protection hidden="1"/>
    </xf>
    <xf numFmtId="0" fontId="9" fillId="0" borderId="0" xfId="0" applyFont="1" applyFill="1" applyBorder="1" applyAlignment="1" applyProtection="1">
      <alignment horizontal="center"/>
      <protection hidden="1"/>
    </xf>
    <xf numFmtId="0" fontId="8" fillId="7" borderId="9" xfId="0" applyFont="1" applyFill="1" applyBorder="1" applyAlignment="1" applyProtection="1">
      <alignment horizontal="center" vertical="center"/>
      <protection hidden="1"/>
    </xf>
    <xf numFmtId="0" fontId="9" fillId="0" borderId="2" xfId="0" applyFont="1" applyBorder="1" applyProtection="1">
      <protection hidden="1"/>
    </xf>
    <xf numFmtId="0" fontId="5" fillId="8" borderId="3" xfId="0" applyFont="1" applyFill="1" applyBorder="1" applyProtection="1">
      <protection hidden="1"/>
    </xf>
    <xf numFmtId="0" fontId="5" fillId="8" borderId="0" xfId="0" applyFont="1" applyFill="1" applyBorder="1" applyAlignment="1" applyProtection="1">
      <alignment horizontal="left"/>
      <protection hidden="1"/>
    </xf>
    <xf numFmtId="0" fontId="8" fillId="7" borderId="9" xfId="0" applyFont="1" applyFill="1" applyBorder="1" applyAlignment="1" applyProtection="1">
      <alignment horizontal="center"/>
      <protection hidden="1"/>
    </xf>
    <xf numFmtId="0" fontId="5" fillId="8" borderId="5" xfId="0" applyFont="1" applyFill="1" applyBorder="1" applyProtection="1">
      <protection hidden="1"/>
    </xf>
    <xf numFmtId="0" fontId="9" fillId="0" borderId="2" xfId="0" applyFont="1" applyBorder="1" applyAlignment="1" applyProtection="1">
      <alignment horizontal="left"/>
      <protection hidden="1"/>
    </xf>
    <xf numFmtId="0" fontId="9" fillId="8" borderId="3" xfId="0" applyFont="1" applyFill="1" applyBorder="1" applyAlignment="1" applyProtection="1">
      <alignment horizontal="center"/>
      <protection hidden="1"/>
    </xf>
    <xf numFmtId="0" fontId="5" fillId="8" borderId="0" xfId="0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0" fontId="9" fillId="0" borderId="0" xfId="0" applyFont="1" applyBorder="1" applyProtection="1">
      <protection hidden="1"/>
    </xf>
    <xf numFmtId="0" fontId="9" fillId="8" borderId="5" xfId="0" applyFont="1" applyFill="1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Alignment="1" applyProtection="1">
      <alignment horizontal="right"/>
      <protection hidden="1"/>
    </xf>
    <xf numFmtId="0" fontId="9" fillId="8" borderId="0" xfId="0" applyFont="1" applyFill="1" applyBorder="1" applyProtection="1">
      <protection hidden="1"/>
    </xf>
    <xf numFmtId="0" fontId="5" fillId="0" borderId="2" xfId="0" applyFont="1" applyBorder="1" applyProtection="1">
      <protection hidden="1"/>
    </xf>
    <xf numFmtId="0" fontId="9" fillId="0" borderId="2" xfId="0" applyFont="1" applyFill="1" applyBorder="1" applyAlignment="1" applyProtection="1">
      <alignment horizontal="center"/>
      <protection hidden="1"/>
    </xf>
    <xf numFmtId="0" fontId="24" fillId="0" borderId="0" xfId="0" applyFont="1" applyFill="1" applyBorder="1" applyAlignment="1" applyProtection="1">
      <alignment horizontal="right"/>
      <protection locked="0"/>
    </xf>
    <xf numFmtId="0" fontId="24" fillId="0" borderId="0" xfId="0" applyFont="1" applyBorder="1" applyAlignment="1" applyProtection="1">
      <alignment horizontal="right"/>
      <protection locked="0"/>
    </xf>
    <xf numFmtId="0" fontId="24" fillId="8" borderId="8" xfId="0" applyFont="1" applyFill="1" applyBorder="1" applyAlignment="1" applyProtection="1">
      <alignment horizontal="right"/>
      <protection locked="0"/>
    </xf>
    <xf numFmtId="0" fontId="24" fillId="8" borderId="5" xfId="0" applyFont="1" applyFill="1" applyBorder="1" applyAlignment="1" applyProtection="1">
      <alignment horizontal="right"/>
      <protection locked="0"/>
    </xf>
    <xf numFmtId="0" fontId="9" fillId="8" borderId="0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9" fillId="10" borderId="9" xfId="0" applyFont="1" applyFill="1" applyBorder="1" applyAlignment="1" applyProtection="1">
      <alignment horizontal="center"/>
      <protection locked="0"/>
    </xf>
    <xf numFmtId="0" fontId="9" fillId="10" borderId="6" xfId="0" applyFont="1" applyFill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Continuous" vertical="center"/>
      <protection hidden="1"/>
    </xf>
    <xf numFmtId="0" fontId="1" fillId="0" borderId="0" xfId="2" applyBorder="1" applyAlignment="1" applyProtection="1">
      <alignment vertical="center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1" fillId="0" borderId="68" xfId="2" applyBorder="1" applyProtection="1">
      <protection hidden="1"/>
    </xf>
    <xf numFmtId="0" fontId="1" fillId="0" borderId="60" xfId="2" applyBorder="1" applyProtection="1">
      <protection hidden="1"/>
    </xf>
    <xf numFmtId="0" fontId="1" fillId="0" borderId="3" xfId="2" applyBorder="1" applyProtection="1">
      <protection hidden="1"/>
    </xf>
    <xf numFmtId="0" fontId="1" fillId="0" borderId="60" xfId="2" applyFill="1" applyBorder="1" applyProtection="1">
      <protection hidden="1"/>
    </xf>
    <xf numFmtId="0" fontId="1" fillId="0" borderId="60" xfId="2" applyBorder="1" applyAlignment="1" applyProtection="1">
      <alignment horizontal="centerContinuous"/>
      <protection hidden="1"/>
    </xf>
    <xf numFmtId="0" fontId="1" fillId="0" borderId="70" xfId="2" applyBorder="1" applyProtection="1">
      <protection hidden="1"/>
    </xf>
    <xf numFmtId="0" fontId="1" fillId="0" borderId="9" xfId="2" applyBorder="1" applyProtection="1">
      <protection hidden="1"/>
    </xf>
    <xf numFmtId="0" fontId="1" fillId="0" borderId="8" xfId="2" applyBorder="1" applyProtection="1">
      <protection hidden="1"/>
    </xf>
    <xf numFmtId="0" fontId="1" fillId="0" borderId="9" xfId="2" applyFill="1" applyBorder="1" applyProtection="1">
      <protection hidden="1"/>
    </xf>
    <xf numFmtId="0" fontId="1" fillId="0" borderId="9" xfId="2" applyBorder="1" applyAlignment="1" applyProtection="1">
      <alignment horizontal="centerContinuous"/>
      <protection hidden="1"/>
    </xf>
    <xf numFmtId="0" fontId="1" fillId="0" borderId="0" xfId="2" applyBorder="1" applyProtection="1">
      <protection hidden="1"/>
    </xf>
    <xf numFmtId="0" fontId="1" fillId="0" borderId="7" xfId="2" applyBorder="1" applyProtection="1">
      <protection hidden="1"/>
    </xf>
    <xf numFmtId="0" fontId="1" fillId="0" borderId="2" xfId="2" applyBorder="1" applyProtection="1">
      <protection hidden="1"/>
    </xf>
    <xf numFmtId="0" fontId="1" fillId="0" borderId="1" xfId="2" applyBorder="1" applyProtection="1">
      <protection hidden="1"/>
    </xf>
    <xf numFmtId="0" fontId="1" fillId="0" borderId="4" xfId="2" applyBorder="1" applyProtection="1">
      <protection hidden="1"/>
    </xf>
    <xf numFmtId="0" fontId="29" fillId="0" borderId="0" xfId="2" applyFont="1" applyBorder="1" applyAlignment="1" applyProtection="1">
      <alignment horizontal="right" vertical="center"/>
      <protection hidden="1"/>
    </xf>
    <xf numFmtId="0" fontId="0" fillId="0" borderId="0" xfId="0" applyBorder="1" applyAlignment="1" applyProtection="1">
      <protection hidden="1"/>
    </xf>
    <xf numFmtId="0" fontId="30" fillId="0" borderId="0" xfId="2" applyFont="1" applyBorder="1" applyAlignment="1" applyProtection="1">
      <alignment horizontal="left"/>
      <protection hidden="1"/>
    </xf>
    <xf numFmtId="0" fontId="1" fillId="0" borderId="5" xfId="2" applyBorder="1" applyProtection="1">
      <protection hidden="1"/>
    </xf>
    <xf numFmtId="0" fontId="3" fillId="0" borderId="0" xfId="2" applyFont="1" applyBorder="1" applyAlignment="1" applyProtection="1">
      <alignment horizontal="centerContinuous" vertical="center"/>
      <protection hidden="1"/>
    </xf>
    <xf numFmtId="0" fontId="1" fillId="2" borderId="0" xfId="2" applyFill="1" applyBorder="1" applyAlignment="1" applyProtection="1">
      <alignment horizontal="left" vertical="center" indent="1"/>
      <protection hidden="1"/>
    </xf>
    <xf numFmtId="0" fontId="1" fillId="2" borderId="0" xfId="2" applyFill="1" applyBorder="1" applyProtection="1">
      <protection hidden="1"/>
    </xf>
    <xf numFmtId="0" fontId="1" fillId="2" borderId="0" xfId="2" applyFill="1" applyBorder="1" applyAlignment="1" applyProtection="1">
      <alignment horizontal="left"/>
      <protection hidden="1"/>
    </xf>
    <xf numFmtId="0" fontId="3" fillId="0" borderId="0" xfId="2" applyFont="1" applyBorder="1" applyAlignment="1" applyProtection="1">
      <alignment horizontal="right" vertical="center"/>
      <protection hidden="1"/>
    </xf>
    <xf numFmtId="0" fontId="31" fillId="0" borderId="5" xfId="2" applyFont="1" applyBorder="1" applyProtection="1">
      <protection hidden="1"/>
    </xf>
    <xf numFmtId="0" fontId="31" fillId="0" borderId="5" xfId="2" applyFont="1" applyBorder="1" applyAlignment="1" applyProtection="1">
      <alignment horizontal="fill"/>
      <protection hidden="1"/>
    </xf>
    <xf numFmtId="0" fontId="32" fillId="0" borderId="0" xfId="2" applyFont="1" applyBorder="1" applyAlignment="1" applyProtection="1">
      <alignment horizontal="center"/>
      <protection hidden="1"/>
    </xf>
    <xf numFmtId="0" fontId="32" fillId="0" borderId="5" xfId="2" applyFont="1" applyBorder="1" applyAlignment="1" applyProtection="1">
      <alignment horizontal="center"/>
      <protection hidden="1"/>
    </xf>
    <xf numFmtId="0" fontId="1" fillId="0" borderId="6" xfId="2" applyBorder="1" applyProtection="1">
      <protection hidden="1"/>
    </xf>
    <xf numFmtId="0" fontId="3" fillId="0" borderId="7" xfId="2" applyFont="1" applyBorder="1" applyAlignment="1" applyProtection="1">
      <alignment horizontal="left" vertical="center"/>
      <protection hidden="1"/>
    </xf>
    <xf numFmtId="0" fontId="3" fillId="0" borderId="7" xfId="2" applyFont="1" applyBorder="1" applyAlignment="1" applyProtection="1">
      <alignment horizontal="centerContinuous" wrapText="1"/>
      <protection hidden="1"/>
    </xf>
    <xf numFmtId="0" fontId="3" fillId="0" borderId="7" xfId="2" applyFont="1" applyBorder="1" applyAlignment="1" applyProtection="1">
      <alignment horizontal="centerContinuous"/>
      <protection hidden="1"/>
    </xf>
    <xf numFmtId="0" fontId="25" fillId="0" borderId="0" xfId="0" applyFont="1" applyAlignment="1" applyProtection="1">
      <alignment horizontal="right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5" fillId="0" borderId="0" xfId="0" applyFont="1" applyFill="1" applyBorder="1" applyProtection="1">
      <protection hidden="1"/>
    </xf>
    <xf numFmtId="0" fontId="1" fillId="0" borderId="20" xfId="2" applyFont="1" applyFill="1" applyBorder="1" applyAlignment="1" applyProtection="1">
      <alignment horizontal="center" vertical="center"/>
      <protection hidden="1"/>
    </xf>
    <xf numFmtId="0" fontId="19" fillId="0" borderId="2" xfId="0" applyFont="1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23" fillId="0" borderId="0" xfId="0" applyFont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protection hidden="1"/>
    </xf>
    <xf numFmtId="0" fontId="15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left"/>
      <protection hidden="1"/>
    </xf>
    <xf numFmtId="0" fontId="25" fillId="0" borderId="5" xfId="0" applyFont="1" applyBorder="1" applyAlignment="1" applyProtection="1">
      <alignment horizontal="left"/>
      <protection hidden="1"/>
    </xf>
    <xf numFmtId="0" fontId="5" fillId="0" borderId="25" xfId="0" applyFont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centerContinuous" vertical="center"/>
      <protection hidden="1"/>
    </xf>
    <xf numFmtId="0" fontId="9" fillId="0" borderId="0" xfId="0" applyFont="1" applyFill="1" applyBorder="1" applyAlignment="1" applyProtection="1">
      <alignment horizontal="centerContinuous" vertical="center"/>
      <protection hidden="1"/>
    </xf>
    <xf numFmtId="0" fontId="11" fillId="0" borderId="0" xfId="0" applyFont="1" applyFill="1" applyBorder="1" applyAlignment="1" applyProtection="1">
      <alignment horizontal="centerContinuous" vertical="center"/>
      <protection hidden="1"/>
    </xf>
    <xf numFmtId="0" fontId="11" fillId="0" borderId="0" xfId="0" applyFont="1" applyFill="1" applyBorder="1" applyAlignment="1" applyProtection="1">
      <alignment horizontal="right"/>
      <protection hidden="1"/>
    </xf>
    <xf numFmtId="0" fontId="5" fillId="0" borderId="7" xfId="0" applyFont="1" applyBorder="1" applyProtection="1">
      <protection hidden="1"/>
    </xf>
    <xf numFmtId="0" fontId="5" fillId="0" borderId="7" xfId="0" applyFont="1" applyBorder="1" applyAlignment="1" applyProtection="1">
      <alignment horizontal="left"/>
      <protection hidden="1"/>
    </xf>
    <xf numFmtId="0" fontId="5" fillId="0" borderId="8" xfId="0" applyFont="1" applyBorder="1" applyProtection="1">
      <protection hidden="1"/>
    </xf>
    <xf numFmtId="0" fontId="5" fillId="0" borderId="1" xfId="0" applyFont="1" applyBorder="1" applyProtection="1">
      <protection hidden="1"/>
    </xf>
    <xf numFmtId="0" fontId="5" fillId="0" borderId="4" xfId="0" applyFont="1" applyBorder="1" applyProtection="1">
      <protection hidden="1"/>
    </xf>
    <xf numFmtId="0" fontId="5" fillId="0" borderId="0" xfId="0" quotePrefix="1" applyFont="1" applyBorder="1" applyAlignment="1" applyProtection="1">
      <alignment horizontal="left" vertical="center"/>
      <protection hidden="1"/>
    </xf>
    <xf numFmtId="0" fontId="5" fillId="0" borderId="6" xfId="0" applyFont="1" applyBorder="1" applyProtection="1">
      <protection hidden="1"/>
    </xf>
    <xf numFmtId="0" fontId="5" fillId="0" borderId="66" xfId="0" applyFont="1" applyBorder="1" applyProtection="1">
      <protection hidden="1"/>
    </xf>
    <xf numFmtId="0" fontId="1" fillId="0" borderId="23" xfId="2" applyFont="1" applyFill="1" applyBorder="1" applyAlignment="1" applyProtection="1">
      <alignment horizontal="center" vertical="center"/>
      <protection hidden="1"/>
    </xf>
    <xf numFmtId="0" fontId="1" fillId="0" borderId="32" xfId="2" applyFont="1" applyFill="1" applyBorder="1" applyAlignment="1" applyProtection="1">
      <alignment horizontal="center" vertical="center"/>
      <protection hidden="1"/>
    </xf>
    <xf numFmtId="0" fontId="33" fillId="5" borderId="62" xfId="2" applyFont="1" applyFill="1" applyBorder="1" applyAlignment="1" applyProtection="1">
      <alignment horizontal="center" vertical="center"/>
      <protection hidden="1"/>
    </xf>
    <xf numFmtId="1" fontId="2" fillId="0" borderId="7" xfId="2" applyNumberFormat="1" applyFont="1" applyBorder="1" applyAlignment="1" applyProtection="1">
      <alignment horizontal="center" vertical="center"/>
      <protection hidden="1"/>
    </xf>
    <xf numFmtId="0" fontId="2" fillId="0" borderId="7" xfId="2" applyFont="1" applyBorder="1" applyAlignment="1" applyProtection="1">
      <alignment horizontal="center" vertical="center"/>
      <protection hidden="1"/>
    </xf>
    <xf numFmtId="0" fontId="2" fillId="0" borderId="66" xfId="2" applyFont="1" applyBorder="1" applyAlignment="1" applyProtection="1">
      <alignment horizontal="center" vertical="center"/>
      <protection hidden="1"/>
    </xf>
    <xf numFmtId="0" fontId="2" fillId="0" borderId="2" xfId="2" applyFont="1" applyBorder="1" applyAlignment="1" applyProtection="1">
      <alignment horizontal="center" vertical="center"/>
      <protection hidden="1"/>
    </xf>
    <xf numFmtId="0" fontId="29" fillId="10" borderId="21" xfId="2" applyFont="1" applyFill="1" applyBorder="1" applyAlignment="1" applyProtection="1">
      <alignment horizontal="center" vertical="center"/>
      <protection hidden="1"/>
    </xf>
    <xf numFmtId="0" fontId="35" fillId="11" borderId="16" xfId="0" applyFont="1" applyFill="1" applyBorder="1" applyAlignment="1" applyProtection="1">
      <alignment horizontal="center" vertical="center"/>
      <protection locked="0"/>
    </xf>
    <xf numFmtId="0" fontId="35" fillId="11" borderId="37" xfId="0" applyFont="1" applyFill="1" applyBorder="1" applyAlignment="1" applyProtection="1">
      <alignment horizontal="center" vertical="center"/>
      <protection locked="0"/>
    </xf>
    <xf numFmtId="0" fontId="35" fillId="11" borderId="17" xfId="0" applyFont="1" applyFill="1" applyBorder="1" applyAlignment="1" applyProtection="1">
      <alignment horizontal="center" vertical="center"/>
      <protection locked="0"/>
    </xf>
    <xf numFmtId="0" fontId="35" fillId="11" borderId="0" xfId="0" applyFont="1" applyFill="1" applyBorder="1" applyAlignment="1" applyProtection="1">
      <alignment horizontal="center" vertical="center"/>
      <protection locked="0"/>
    </xf>
    <xf numFmtId="0" fontId="35" fillId="11" borderId="38" xfId="0" applyFont="1" applyFill="1" applyBorder="1" applyAlignment="1" applyProtection="1">
      <alignment horizontal="center" vertical="center"/>
      <protection locked="0"/>
    </xf>
    <xf numFmtId="0" fontId="35" fillId="11" borderId="10" xfId="0" applyFont="1" applyFill="1" applyBorder="1" applyAlignment="1" applyProtection="1">
      <alignment horizontal="center" vertical="center"/>
      <protection locked="0"/>
    </xf>
    <xf numFmtId="0" fontId="35" fillId="10" borderId="2" xfId="0" applyFont="1" applyFill="1" applyBorder="1" applyAlignment="1" applyProtection="1">
      <alignment horizontal="center" vertical="center"/>
      <protection locked="0"/>
    </xf>
    <xf numFmtId="0" fontId="35" fillId="10" borderId="39" xfId="0" applyFont="1" applyFill="1" applyBorder="1" applyAlignment="1" applyProtection="1">
      <alignment horizontal="center" vertical="center"/>
      <protection locked="0"/>
    </xf>
    <xf numFmtId="0" fontId="35" fillId="10" borderId="11" xfId="0" applyFont="1" applyFill="1" applyBorder="1" applyAlignment="1" applyProtection="1">
      <alignment horizontal="center" vertical="center"/>
      <protection locked="0"/>
    </xf>
    <xf numFmtId="0" fontId="35" fillId="10" borderId="0" xfId="0" applyFont="1" applyFill="1" applyBorder="1" applyAlignment="1" applyProtection="1">
      <alignment horizontal="center" vertical="center"/>
      <protection locked="0"/>
    </xf>
    <xf numFmtId="0" fontId="35" fillId="10" borderId="38" xfId="0" applyFont="1" applyFill="1" applyBorder="1" applyAlignment="1" applyProtection="1">
      <alignment horizontal="center" vertical="center"/>
      <protection locked="0"/>
    </xf>
    <xf numFmtId="0" fontId="35" fillId="10" borderId="10" xfId="0" applyFont="1" applyFill="1" applyBorder="1" applyAlignment="1" applyProtection="1">
      <alignment horizontal="center" vertical="center"/>
      <protection locked="0"/>
    </xf>
    <xf numFmtId="0" fontId="35" fillId="11" borderId="12" xfId="0" applyFont="1" applyFill="1" applyBorder="1" applyAlignment="1" applyProtection="1">
      <alignment horizontal="center" vertical="center"/>
      <protection locked="0"/>
    </xf>
    <xf numFmtId="0" fontId="35" fillId="11" borderId="40" xfId="0" applyFont="1" applyFill="1" applyBorder="1" applyAlignment="1" applyProtection="1">
      <alignment horizontal="center" vertical="center"/>
      <protection locked="0"/>
    </xf>
    <xf numFmtId="0" fontId="35" fillId="11" borderId="13" xfId="0" applyFont="1" applyFill="1" applyBorder="1" applyAlignment="1" applyProtection="1">
      <alignment horizontal="center" vertical="center"/>
      <protection locked="0"/>
    </xf>
    <xf numFmtId="0" fontId="35" fillId="10" borderId="14" xfId="0" applyFont="1" applyFill="1" applyBorder="1" applyAlignment="1" applyProtection="1">
      <alignment horizontal="center" vertical="center"/>
      <protection locked="0"/>
    </xf>
    <xf numFmtId="0" fontId="35" fillId="10" borderId="41" xfId="0" applyFont="1" applyFill="1" applyBorder="1" applyAlignment="1" applyProtection="1">
      <alignment horizontal="center" vertical="center"/>
      <protection locked="0"/>
    </xf>
    <xf numFmtId="0" fontId="35" fillId="10" borderId="15" xfId="0" applyFont="1" applyFill="1" applyBorder="1" applyAlignment="1" applyProtection="1">
      <alignment horizontal="center" vertical="center"/>
      <protection locked="0"/>
    </xf>
    <xf numFmtId="0" fontId="35" fillId="10" borderId="18" xfId="0" applyFont="1" applyFill="1" applyBorder="1" applyAlignment="1" applyProtection="1">
      <alignment horizontal="center" vertical="center"/>
      <protection locked="0"/>
    </xf>
    <xf numFmtId="0" fontId="35" fillId="10" borderId="42" xfId="0" applyFont="1" applyFill="1" applyBorder="1" applyAlignment="1" applyProtection="1">
      <alignment horizontal="center" vertical="center"/>
      <protection locked="0"/>
    </xf>
    <xf numFmtId="0" fontId="35" fillId="10" borderId="19" xfId="0" applyFont="1" applyFill="1" applyBorder="1" applyAlignment="1" applyProtection="1">
      <alignment horizontal="center" vertical="center"/>
      <protection locked="0"/>
    </xf>
    <xf numFmtId="0" fontId="1" fillId="0" borderId="24" xfId="2" applyFont="1" applyFill="1" applyBorder="1" applyAlignment="1" applyProtection="1">
      <alignment horizontal="center" vertical="center"/>
      <protection hidden="1"/>
    </xf>
    <xf numFmtId="0" fontId="1" fillId="10" borderId="73" xfId="2" applyFont="1" applyFill="1" applyBorder="1" applyAlignment="1" applyProtection="1">
      <alignment horizontal="center" vertical="center"/>
      <protection locked="0" hidden="1"/>
    </xf>
    <xf numFmtId="0" fontId="1" fillId="10" borderId="27" xfId="2" applyFont="1" applyFill="1" applyBorder="1" applyAlignment="1" applyProtection="1">
      <alignment horizontal="center" vertical="center"/>
      <protection locked="0" hidden="1"/>
    </xf>
    <xf numFmtId="0" fontId="1" fillId="10" borderId="79" xfId="2" applyFont="1" applyFill="1" applyBorder="1" applyAlignment="1" applyProtection="1">
      <alignment horizontal="center" vertical="center"/>
      <protection locked="0" hidden="1"/>
    </xf>
    <xf numFmtId="0" fontId="1" fillId="10" borderId="59" xfId="2" applyFont="1" applyFill="1" applyBorder="1" applyAlignment="1" applyProtection="1">
      <alignment horizontal="center" vertical="center"/>
      <protection locked="0" hidden="1"/>
    </xf>
    <xf numFmtId="0" fontId="5" fillId="5" borderId="36" xfId="0" applyFont="1" applyFill="1" applyBorder="1" applyAlignment="1" applyProtection="1">
      <alignment horizontal="center" vertical="center"/>
      <protection hidden="1"/>
    </xf>
    <xf numFmtId="0" fontId="5" fillId="5" borderId="19" xfId="0" applyFont="1" applyFill="1" applyBorder="1" applyAlignment="1" applyProtection="1">
      <alignment horizontal="center" vertical="center"/>
      <protection hidden="1"/>
    </xf>
    <xf numFmtId="0" fontId="10" fillId="5" borderId="76" xfId="0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left"/>
      <protection hidden="1"/>
    </xf>
    <xf numFmtId="0" fontId="9" fillId="0" borderId="7" xfId="0" applyFont="1" applyBorder="1" applyProtection="1">
      <protection hidden="1"/>
    </xf>
    <xf numFmtId="0" fontId="9" fillId="0" borderId="7" xfId="0" applyFont="1" applyBorder="1" applyAlignment="1" applyProtection="1">
      <alignment horizontal="left"/>
      <protection hidden="1"/>
    </xf>
    <xf numFmtId="0" fontId="9" fillId="0" borderId="66" xfId="0" applyFont="1" applyBorder="1" applyProtection="1">
      <protection hidden="1"/>
    </xf>
    <xf numFmtId="0" fontId="2" fillId="0" borderId="9" xfId="2" applyFont="1" applyFill="1" applyBorder="1" applyAlignment="1" applyProtection="1">
      <alignment horizontal="center" vertical="center"/>
      <protection hidden="1"/>
    </xf>
    <xf numFmtId="0" fontId="2" fillId="0" borderId="60" xfId="2" applyFont="1" applyFill="1" applyBorder="1" applyAlignment="1" applyProtection="1">
      <alignment horizontal="center" vertical="center"/>
      <protection hidden="1"/>
    </xf>
    <xf numFmtId="1" fontId="3" fillId="0" borderId="5" xfId="2" applyNumberFormat="1" applyFont="1" applyFill="1" applyBorder="1" applyAlignment="1" applyProtection="1">
      <alignment horizontal="center" vertical="center"/>
      <protection hidden="1"/>
    </xf>
    <xf numFmtId="0" fontId="2" fillId="0" borderId="22" xfId="2" applyNumberFormat="1" applyFont="1" applyFill="1" applyBorder="1" applyAlignment="1" applyProtection="1">
      <alignment horizontal="center" vertical="center"/>
      <protection hidden="1"/>
    </xf>
    <xf numFmtId="0" fontId="2" fillId="0" borderId="22" xfId="2" applyFont="1" applyFill="1" applyBorder="1" applyAlignment="1" applyProtection="1">
      <alignment horizontal="center" vertical="center"/>
      <protection hidden="1"/>
    </xf>
    <xf numFmtId="1" fontId="33" fillId="0" borderId="96" xfId="2" applyNumberFormat="1" applyFont="1" applyFill="1" applyBorder="1" applyAlignment="1" applyProtection="1">
      <alignment horizontal="center" vertical="center"/>
      <protection hidden="1"/>
    </xf>
    <xf numFmtId="1" fontId="41" fillId="0" borderId="25" xfId="2" applyNumberFormat="1" applyFont="1" applyFill="1" applyBorder="1" applyAlignment="1" applyProtection="1">
      <alignment horizontal="center" vertical="center"/>
      <protection hidden="1"/>
    </xf>
    <xf numFmtId="1" fontId="41" fillId="0" borderId="5" xfId="2" applyNumberFormat="1" applyFont="1" applyFill="1" applyBorder="1" applyAlignment="1" applyProtection="1">
      <alignment horizontal="center" vertical="center"/>
      <protection hidden="1"/>
    </xf>
    <xf numFmtId="1" fontId="33" fillId="0" borderId="10" xfId="2" applyNumberFormat="1" applyFont="1" applyFill="1" applyBorder="1" applyAlignment="1" applyProtection="1">
      <alignment horizontal="center" vertical="center"/>
      <protection hidden="1"/>
    </xf>
    <xf numFmtId="1" fontId="41" fillId="0" borderId="0" xfId="2" applyNumberFormat="1" applyFont="1" applyFill="1" applyBorder="1" applyAlignment="1" applyProtection="1">
      <alignment horizontal="center" vertical="center"/>
      <protection hidden="1"/>
    </xf>
    <xf numFmtId="1" fontId="33" fillId="0" borderId="97" xfId="2" applyNumberFormat="1" applyFont="1" applyFill="1" applyBorder="1" applyAlignment="1" applyProtection="1">
      <alignment horizontal="center" vertical="center"/>
      <protection hidden="1"/>
    </xf>
    <xf numFmtId="0" fontId="3" fillId="0" borderId="8" xfId="2" applyFont="1" applyFill="1" applyBorder="1" applyAlignment="1" applyProtection="1">
      <alignment horizontal="center" vertical="center"/>
      <protection hidden="1"/>
    </xf>
    <xf numFmtId="1" fontId="33" fillId="0" borderId="91" xfId="2" applyNumberFormat="1" applyFont="1" applyFill="1" applyBorder="1" applyAlignment="1" applyProtection="1">
      <alignment horizontal="center" vertical="center"/>
      <protection hidden="1"/>
    </xf>
    <xf numFmtId="1" fontId="41" fillId="0" borderId="56" xfId="2" applyNumberFormat="1" applyFont="1" applyFill="1" applyBorder="1" applyAlignment="1" applyProtection="1">
      <alignment horizontal="center" vertical="center"/>
      <protection hidden="1"/>
    </xf>
    <xf numFmtId="1" fontId="41" fillId="0" borderId="8" xfId="2" applyNumberFormat="1" applyFont="1" applyFill="1" applyBorder="1" applyAlignment="1" applyProtection="1">
      <alignment horizontal="center" vertical="center"/>
      <protection hidden="1"/>
    </xf>
    <xf numFmtId="1" fontId="33" fillId="0" borderId="85" xfId="2" applyNumberFormat="1" applyFont="1" applyFill="1" applyBorder="1" applyAlignment="1" applyProtection="1">
      <alignment horizontal="center" vertical="center"/>
      <protection hidden="1"/>
    </xf>
    <xf numFmtId="1" fontId="41" fillId="0" borderId="7" xfId="2" applyNumberFormat="1" applyFont="1" applyFill="1" applyBorder="1" applyAlignment="1" applyProtection="1">
      <alignment horizontal="center" vertical="center"/>
      <protection hidden="1"/>
    </xf>
    <xf numFmtId="1" fontId="33" fillId="0" borderId="87" xfId="2" applyNumberFormat="1" applyFont="1" applyFill="1" applyBorder="1" applyAlignment="1" applyProtection="1">
      <alignment horizontal="center" vertical="center"/>
      <protection hidden="1"/>
    </xf>
    <xf numFmtId="0" fontId="3" fillId="0" borderId="3" xfId="2" applyFont="1" applyFill="1" applyBorder="1" applyAlignment="1" applyProtection="1">
      <alignment horizontal="center" vertical="center"/>
      <protection hidden="1"/>
    </xf>
    <xf numFmtId="1" fontId="33" fillId="0" borderId="93" xfId="2" applyNumberFormat="1" applyFont="1" applyFill="1" applyBorder="1" applyAlignment="1" applyProtection="1">
      <alignment horizontal="center" vertical="center"/>
      <protection hidden="1"/>
    </xf>
    <xf numFmtId="1" fontId="41" fillId="0" borderId="94" xfId="2" applyNumberFormat="1" applyFont="1" applyFill="1" applyBorder="1" applyAlignment="1" applyProtection="1">
      <alignment horizontal="center" vertical="center"/>
      <protection hidden="1"/>
    </xf>
    <xf numFmtId="1" fontId="41" fillId="0" borderId="3" xfId="2" applyNumberFormat="1" applyFont="1" applyFill="1" applyBorder="1" applyAlignment="1" applyProtection="1">
      <alignment horizontal="center" vertical="center"/>
      <protection hidden="1"/>
    </xf>
    <xf numFmtId="1" fontId="33" fillId="0" borderId="11" xfId="2" applyNumberFormat="1" applyFont="1" applyFill="1" applyBorder="1" applyAlignment="1" applyProtection="1">
      <alignment horizontal="center" vertical="center"/>
      <protection hidden="1"/>
    </xf>
    <xf numFmtId="1" fontId="41" fillId="0" borderId="2" xfId="2" applyNumberFormat="1" applyFont="1" applyFill="1" applyBorder="1" applyAlignment="1" applyProtection="1">
      <alignment horizontal="center" vertical="center"/>
      <protection hidden="1"/>
    </xf>
    <xf numFmtId="1" fontId="33" fillId="0" borderId="95" xfId="2" applyNumberFormat="1" applyFont="1" applyFill="1" applyBorder="1" applyAlignment="1" applyProtection="1">
      <alignment horizontal="center" vertical="center"/>
      <protection hidden="1"/>
    </xf>
    <xf numFmtId="0" fontId="3" fillId="0" borderId="5" xfId="2" applyFont="1" applyFill="1" applyBorder="1" applyAlignment="1" applyProtection="1">
      <alignment horizontal="center" vertical="center"/>
      <protection hidden="1"/>
    </xf>
    <xf numFmtId="0" fontId="3" fillId="5" borderId="80" xfId="2" applyFont="1" applyFill="1" applyBorder="1" applyAlignment="1" applyProtection="1">
      <alignment horizontal="center" vertical="center"/>
      <protection hidden="1"/>
    </xf>
    <xf numFmtId="0" fontId="2" fillId="5" borderId="72" xfId="2" applyFont="1" applyFill="1" applyBorder="1" applyAlignment="1" applyProtection="1">
      <alignment horizontal="center" vertical="center"/>
      <protection hidden="1"/>
    </xf>
    <xf numFmtId="1" fontId="33" fillId="5" borderId="98" xfId="2" applyNumberFormat="1" applyFont="1" applyFill="1" applyBorder="1" applyAlignment="1" applyProtection="1">
      <alignment horizontal="center" vertical="center"/>
      <protection hidden="1"/>
    </xf>
    <xf numFmtId="1" fontId="41" fillId="5" borderId="77" xfId="2" applyNumberFormat="1" applyFont="1" applyFill="1" applyBorder="1" applyAlignment="1" applyProtection="1">
      <alignment horizontal="center" vertical="center"/>
      <protection hidden="1"/>
    </xf>
    <xf numFmtId="1" fontId="41" fillId="5" borderId="80" xfId="2" applyNumberFormat="1" applyFont="1" applyFill="1" applyBorder="1" applyAlignment="1" applyProtection="1">
      <alignment horizontal="center" vertical="center"/>
      <protection hidden="1"/>
    </xf>
    <xf numFmtId="1" fontId="33" fillId="5" borderId="17" xfId="2" applyNumberFormat="1" applyFont="1" applyFill="1" applyBorder="1" applyAlignment="1" applyProtection="1">
      <alignment horizontal="center" vertical="center"/>
      <protection hidden="1"/>
    </xf>
    <xf numFmtId="1" fontId="41" fillId="5" borderId="16" xfId="2" applyNumberFormat="1" applyFont="1" applyFill="1" applyBorder="1" applyAlignment="1" applyProtection="1">
      <alignment horizontal="center" vertical="center"/>
      <protection hidden="1"/>
    </xf>
    <xf numFmtId="1" fontId="33" fillId="5" borderId="99" xfId="2" applyNumberFormat="1" applyFont="1" applyFill="1" applyBorder="1" applyAlignment="1" applyProtection="1">
      <alignment horizontal="center" vertical="center"/>
      <protection hidden="1"/>
    </xf>
    <xf numFmtId="0" fontId="3" fillId="5" borderId="8" xfId="2" applyFont="1" applyFill="1" applyBorder="1" applyAlignment="1" applyProtection="1">
      <alignment horizontal="center" vertical="center"/>
      <protection hidden="1"/>
    </xf>
    <xf numFmtId="0" fontId="2" fillId="5" borderId="9" xfId="2" applyFont="1" applyFill="1" applyBorder="1" applyAlignment="1" applyProtection="1">
      <alignment horizontal="center" vertical="center"/>
      <protection hidden="1"/>
    </xf>
    <xf numFmtId="1" fontId="33" fillId="5" borderId="91" xfId="2" applyNumberFormat="1" applyFont="1" applyFill="1" applyBorder="1" applyAlignment="1" applyProtection="1">
      <alignment horizontal="center" vertical="center"/>
      <protection hidden="1"/>
    </xf>
    <xf numFmtId="1" fontId="41" fillId="5" borderId="56" xfId="2" applyNumberFormat="1" applyFont="1" applyFill="1" applyBorder="1" applyAlignment="1" applyProtection="1">
      <alignment horizontal="center" vertical="center"/>
      <protection hidden="1"/>
    </xf>
    <xf numFmtId="1" fontId="41" fillId="5" borderId="8" xfId="2" applyNumberFormat="1" applyFont="1" applyFill="1" applyBorder="1" applyAlignment="1" applyProtection="1">
      <alignment horizontal="center" vertical="center"/>
      <protection hidden="1"/>
    </xf>
    <xf numFmtId="1" fontId="33" fillId="5" borderId="85" xfId="2" applyNumberFormat="1" applyFont="1" applyFill="1" applyBorder="1" applyAlignment="1" applyProtection="1">
      <alignment horizontal="center" vertical="center"/>
      <protection hidden="1"/>
    </xf>
    <xf numFmtId="1" fontId="41" fillId="5" borderId="7" xfId="2" applyNumberFormat="1" applyFont="1" applyFill="1" applyBorder="1" applyAlignment="1" applyProtection="1">
      <alignment horizontal="center" vertical="center"/>
      <protection hidden="1"/>
    </xf>
    <xf numFmtId="1" fontId="33" fillId="5" borderId="87" xfId="2" applyNumberFormat="1" applyFont="1" applyFill="1" applyBorder="1" applyAlignment="1" applyProtection="1">
      <alignment horizontal="center" vertical="center"/>
      <protection hidden="1"/>
    </xf>
    <xf numFmtId="0" fontId="3" fillId="5" borderId="5" xfId="2" applyFont="1" applyFill="1" applyBorder="1" applyAlignment="1" applyProtection="1">
      <alignment horizontal="center" vertical="center"/>
      <protection hidden="1"/>
    </xf>
    <xf numFmtId="0" fontId="2" fillId="5" borderId="22" xfId="2" applyFont="1" applyFill="1" applyBorder="1" applyAlignment="1" applyProtection="1">
      <alignment horizontal="center" vertical="center"/>
      <protection hidden="1"/>
    </xf>
    <xf numFmtId="1" fontId="33" fillId="5" borderId="96" xfId="2" applyNumberFormat="1" applyFont="1" applyFill="1" applyBorder="1" applyAlignment="1" applyProtection="1">
      <alignment horizontal="center" vertical="center"/>
      <protection hidden="1"/>
    </xf>
    <xf numFmtId="1" fontId="41" fillId="5" borderId="25" xfId="2" applyNumberFormat="1" applyFont="1" applyFill="1" applyBorder="1" applyAlignment="1" applyProtection="1">
      <alignment horizontal="center" vertical="center"/>
      <protection hidden="1"/>
    </xf>
    <xf numFmtId="1" fontId="41" fillId="5" borderId="5" xfId="2" applyNumberFormat="1" applyFont="1" applyFill="1" applyBorder="1" applyAlignment="1" applyProtection="1">
      <alignment horizontal="center" vertical="center"/>
      <protection hidden="1"/>
    </xf>
    <xf numFmtId="1" fontId="33" fillId="5" borderId="10" xfId="2" applyNumberFormat="1" applyFont="1" applyFill="1" applyBorder="1" applyAlignment="1" applyProtection="1">
      <alignment horizontal="center" vertical="center"/>
      <protection hidden="1"/>
    </xf>
    <xf numFmtId="1" fontId="41" fillId="5" borderId="0" xfId="2" applyNumberFormat="1" applyFont="1" applyFill="1" applyBorder="1" applyAlignment="1" applyProtection="1">
      <alignment horizontal="center" vertical="center"/>
      <protection hidden="1"/>
    </xf>
    <xf numFmtId="1" fontId="33" fillId="5" borderId="97" xfId="2" applyNumberFormat="1" applyFont="1" applyFill="1" applyBorder="1" applyAlignment="1" applyProtection="1">
      <alignment horizontal="center" vertical="center"/>
      <protection hidden="1"/>
    </xf>
    <xf numFmtId="0" fontId="3" fillId="5" borderId="3" xfId="2" applyFont="1" applyFill="1" applyBorder="1" applyAlignment="1" applyProtection="1">
      <alignment horizontal="center" vertical="center"/>
      <protection hidden="1"/>
    </xf>
    <xf numFmtId="0" fontId="2" fillId="5" borderId="60" xfId="2" applyFont="1" applyFill="1" applyBorder="1" applyAlignment="1" applyProtection="1">
      <alignment horizontal="center" vertical="center"/>
      <protection hidden="1"/>
    </xf>
    <xf numFmtId="1" fontId="33" fillId="5" borderId="93" xfId="2" applyNumberFormat="1" applyFont="1" applyFill="1" applyBorder="1" applyAlignment="1" applyProtection="1">
      <alignment horizontal="center" vertical="center"/>
      <protection hidden="1"/>
    </xf>
    <xf numFmtId="1" fontId="41" fillId="5" borderId="94" xfId="2" applyNumberFormat="1" applyFont="1" applyFill="1" applyBorder="1" applyAlignment="1" applyProtection="1">
      <alignment horizontal="center" vertical="center"/>
      <protection hidden="1"/>
    </xf>
    <xf numFmtId="1" fontId="41" fillId="5" borderId="3" xfId="2" applyNumberFormat="1" applyFont="1" applyFill="1" applyBorder="1" applyAlignment="1" applyProtection="1">
      <alignment horizontal="center" vertical="center"/>
      <protection hidden="1"/>
    </xf>
    <xf numFmtId="1" fontId="33" fillId="5" borderId="11" xfId="2" applyNumberFormat="1" applyFont="1" applyFill="1" applyBorder="1" applyAlignment="1" applyProtection="1">
      <alignment horizontal="center" vertical="center"/>
      <protection hidden="1"/>
    </xf>
    <xf numFmtId="1" fontId="41" fillId="5" borderId="2" xfId="2" applyNumberFormat="1" applyFont="1" applyFill="1" applyBorder="1" applyAlignment="1" applyProtection="1">
      <alignment horizontal="center" vertical="center"/>
      <protection hidden="1"/>
    </xf>
    <xf numFmtId="1" fontId="33" fillId="5" borderId="95" xfId="2" applyNumberFormat="1" applyFont="1" applyFill="1" applyBorder="1" applyAlignment="1" applyProtection="1">
      <alignment horizontal="center" vertical="center"/>
      <protection hidden="1"/>
    </xf>
    <xf numFmtId="0" fontId="3" fillId="5" borderId="81" xfId="2" applyFont="1" applyFill="1" applyBorder="1" applyAlignment="1" applyProtection="1">
      <alignment horizontal="center" vertical="center"/>
      <protection hidden="1"/>
    </xf>
    <xf numFmtId="0" fontId="2" fillId="5" borderId="58" xfId="2" applyFont="1" applyFill="1" applyBorder="1" applyAlignment="1" applyProtection="1">
      <alignment horizontal="center" vertical="center"/>
      <protection hidden="1"/>
    </xf>
    <xf numFmtId="1" fontId="33" fillId="5" borderId="88" xfId="2" applyNumberFormat="1" applyFont="1" applyFill="1" applyBorder="1" applyAlignment="1" applyProtection="1">
      <alignment horizontal="center" vertical="center"/>
      <protection hidden="1"/>
    </xf>
    <xf numFmtId="1" fontId="41" fillId="5" borderId="57" xfId="2" applyNumberFormat="1" applyFont="1" applyFill="1" applyBorder="1" applyAlignment="1" applyProtection="1">
      <alignment horizontal="center" vertical="center"/>
      <protection hidden="1"/>
    </xf>
    <xf numFmtId="1" fontId="41" fillId="5" borderId="81" xfId="2" applyNumberFormat="1" applyFont="1" applyFill="1" applyBorder="1" applyAlignment="1" applyProtection="1">
      <alignment horizontal="center" vertical="center"/>
      <protection hidden="1"/>
    </xf>
    <xf numFmtId="1" fontId="33" fillId="5" borderId="19" xfId="2" applyNumberFormat="1" applyFont="1" applyFill="1" applyBorder="1" applyAlignment="1" applyProtection="1">
      <alignment horizontal="center" vertical="center"/>
      <protection hidden="1"/>
    </xf>
    <xf numFmtId="1" fontId="41" fillId="5" borderId="18" xfId="2" applyNumberFormat="1" applyFont="1" applyFill="1" applyBorder="1" applyAlignment="1" applyProtection="1">
      <alignment horizontal="center" vertical="center"/>
      <protection hidden="1"/>
    </xf>
    <xf numFmtId="1" fontId="33" fillId="5" borderId="100" xfId="2" applyNumberFormat="1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 applyAlignment="1" applyProtection="1">
      <alignment horizontal="center" vertical="center" shrinkToFit="1"/>
      <protection hidden="1"/>
    </xf>
    <xf numFmtId="0" fontId="2" fillId="0" borderId="0" xfId="2" applyFont="1" applyFill="1" applyBorder="1" applyAlignment="1" applyProtection="1">
      <alignment horizontal="center" vertical="center"/>
      <protection locked="0"/>
    </xf>
    <xf numFmtId="1" fontId="33" fillId="0" borderId="0" xfId="2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39" fillId="5" borderId="63" xfId="2" applyFont="1" applyFill="1" applyBorder="1" applyAlignment="1" applyProtection="1">
      <alignment horizontal="center" vertical="center"/>
    </xf>
    <xf numFmtId="0" fontId="39" fillId="5" borderId="71" xfId="2" applyFont="1" applyFill="1" applyBorder="1" applyAlignment="1" applyProtection="1">
      <alignment horizontal="center" vertical="center"/>
    </xf>
    <xf numFmtId="0" fontId="39" fillId="13" borderId="26" xfId="2" applyFont="1" applyFill="1" applyBorder="1" applyAlignment="1" applyProtection="1">
      <alignment horizontal="center" vertical="center" wrapText="1"/>
    </xf>
    <xf numFmtId="0" fontId="39" fillId="13" borderId="63" xfId="2" applyFont="1" applyFill="1" applyBorder="1" applyAlignment="1" applyProtection="1">
      <alignment horizontal="center" vertical="center" wrapText="1"/>
    </xf>
    <xf numFmtId="0" fontId="39" fillId="13" borderId="65" xfId="2" applyFont="1" applyFill="1" applyBorder="1" applyAlignment="1" applyProtection="1">
      <alignment horizontal="center" vertical="center" wrapText="1"/>
    </xf>
    <xf numFmtId="0" fontId="39" fillId="9" borderId="63" xfId="2" applyFont="1" applyFill="1" applyBorder="1" applyAlignment="1" applyProtection="1">
      <alignment horizontal="center" vertical="center" wrapText="1"/>
    </xf>
    <xf numFmtId="0" fontId="39" fillId="9" borderId="62" xfId="2" applyFont="1" applyFill="1" applyBorder="1" applyAlignment="1" applyProtection="1">
      <alignment horizontal="center" vertical="center" wrapText="1"/>
    </xf>
    <xf numFmtId="0" fontId="39" fillId="9" borderId="86" xfId="2" applyFont="1" applyFill="1" applyBorder="1" applyAlignment="1" applyProtection="1">
      <alignment horizontal="center" vertical="center" wrapText="1"/>
    </xf>
    <xf numFmtId="0" fontId="39" fillId="12" borderId="90" xfId="2" applyFont="1" applyFill="1" applyBorder="1" applyAlignment="1" applyProtection="1">
      <alignment horizontal="center" vertical="center" wrapText="1"/>
    </xf>
    <xf numFmtId="0" fontId="3" fillId="0" borderId="0" xfId="2" applyFont="1" applyFill="1" applyBorder="1" applyAlignment="1" applyProtection="1">
      <alignment horizontal="center" vertical="center"/>
      <protection hidden="1"/>
    </xf>
    <xf numFmtId="0" fontId="29" fillId="0" borderId="0" xfId="2" applyFont="1" applyBorder="1" applyProtection="1">
      <protection hidden="1"/>
    </xf>
    <xf numFmtId="0" fontId="0" fillId="10" borderId="102" xfId="0" applyFill="1" applyBorder="1" applyAlignment="1" applyProtection="1">
      <protection hidden="1"/>
    </xf>
    <xf numFmtId="0" fontId="0" fillId="10" borderId="103" xfId="0" applyFill="1" applyBorder="1" applyAlignment="1" applyProtection="1">
      <protection hidden="1"/>
    </xf>
    <xf numFmtId="0" fontId="1" fillId="0" borderId="79" xfId="2" applyBorder="1" applyProtection="1">
      <protection hidden="1"/>
    </xf>
    <xf numFmtId="0" fontId="1" fillId="0" borderId="104" xfId="2" applyBorder="1" applyProtection="1">
      <protection hidden="1"/>
    </xf>
    <xf numFmtId="0" fontId="1" fillId="0" borderId="3" xfId="2" applyFill="1" applyBorder="1" applyProtection="1">
      <protection hidden="1"/>
    </xf>
    <xf numFmtId="0" fontId="1" fillId="0" borderId="8" xfId="2" applyFill="1" applyBorder="1" applyProtection="1">
      <protection hidden="1"/>
    </xf>
    <xf numFmtId="0" fontId="10" fillId="0" borderId="0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Border="1" applyAlignment="1" applyProtection="1">
      <alignment horizontal="right"/>
      <protection hidden="1"/>
    </xf>
    <xf numFmtId="0" fontId="0" fillId="0" borderId="0" xfId="0"/>
    <xf numFmtId="0" fontId="45" fillId="0" borderId="0" xfId="0" applyFont="1"/>
    <xf numFmtId="20" fontId="47" fillId="0" borderId="8" xfId="0" applyNumberFormat="1" applyFont="1" applyBorder="1"/>
    <xf numFmtId="20" fontId="47" fillId="0" borderId="103" xfId="0" applyNumberFormat="1" applyFont="1" applyBorder="1"/>
    <xf numFmtId="20" fontId="47" fillId="0" borderId="106" xfId="0" applyNumberFormat="1" applyFont="1" applyBorder="1"/>
    <xf numFmtId="0" fontId="0" fillId="0" borderId="18" xfId="0" applyBorder="1"/>
    <xf numFmtId="0" fontId="45" fillId="5" borderId="6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45" fillId="5" borderId="71" xfId="0" applyFont="1" applyFill="1" applyBorder="1" applyAlignment="1">
      <alignment horizontal="center" vertical="center"/>
    </xf>
    <xf numFmtId="0" fontId="45" fillId="5" borderId="64" xfId="0" applyFont="1" applyFill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47" fillId="5" borderId="66" xfId="0" applyFont="1" applyFill="1" applyBorder="1"/>
    <xf numFmtId="0" fontId="0" fillId="5" borderId="66" xfId="0" applyFill="1" applyBorder="1" applyAlignment="1">
      <alignment horizontal="center" vertical="center"/>
    </xf>
    <xf numFmtId="0" fontId="0" fillId="14" borderId="9" xfId="0" applyFill="1" applyBorder="1" applyAlignment="1">
      <alignment horizontal="center" vertical="center"/>
    </xf>
    <xf numFmtId="0" fontId="0" fillId="14" borderId="21" xfId="0" applyFill="1" applyBorder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0" fillId="9" borderId="9" xfId="0" applyFill="1" applyBorder="1" applyAlignment="1">
      <alignment horizontal="center" vertical="center"/>
    </xf>
    <xf numFmtId="0" fontId="0" fillId="9" borderId="107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7" borderId="0" xfId="0" applyFill="1" applyAlignment="1">
      <alignment horizontal="center" vertical="center"/>
    </xf>
    <xf numFmtId="0" fontId="0" fillId="15" borderId="21" xfId="0" applyFill="1" applyBorder="1" applyAlignment="1">
      <alignment horizontal="center" vertical="center"/>
    </xf>
    <xf numFmtId="0" fontId="0" fillId="16" borderId="21" xfId="0" applyFill="1" applyBorder="1" applyAlignment="1">
      <alignment horizontal="center" vertical="center"/>
    </xf>
    <xf numFmtId="0" fontId="0" fillId="17" borderId="21" xfId="0" applyFill="1" applyBorder="1" applyAlignment="1">
      <alignment horizontal="center" vertical="center"/>
    </xf>
    <xf numFmtId="0" fontId="0" fillId="14" borderId="102" xfId="0" applyFill="1" applyBorder="1" applyAlignment="1">
      <alignment horizontal="center" vertical="center"/>
    </xf>
    <xf numFmtId="0" fontId="0" fillId="9" borderId="102" xfId="0" applyFill="1" applyBorder="1" applyAlignment="1">
      <alignment horizontal="center" vertical="center"/>
    </xf>
    <xf numFmtId="0" fontId="0" fillId="15" borderId="102" xfId="0" applyFill="1" applyBorder="1" applyAlignment="1">
      <alignment horizontal="center" vertical="center"/>
    </xf>
    <xf numFmtId="0" fontId="0" fillId="17" borderId="102" xfId="0" applyFill="1" applyBorder="1" applyAlignment="1">
      <alignment horizontal="center" vertical="center"/>
    </xf>
    <xf numFmtId="0" fontId="0" fillId="16" borderId="102" xfId="0" applyFill="1" applyBorder="1" applyAlignment="1">
      <alignment horizontal="center" vertical="center"/>
    </xf>
    <xf numFmtId="0" fontId="1" fillId="0" borderId="16" xfId="2" applyFont="1" applyFill="1" applyBorder="1" applyAlignment="1" applyProtection="1">
      <alignment horizontal="center" vertical="center"/>
      <protection locked="0"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0" fontId="42" fillId="0" borderId="0" xfId="0" applyFont="1" applyAlignment="1" applyProtection="1">
      <alignment horizontal="center" vertical="top" wrapText="1"/>
      <protection hidden="1"/>
    </xf>
    <xf numFmtId="0" fontId="1" fillId="0" borderId="1" xfId="2" applyBorder="1" applyAlignment="1" applyProtection="1">
      <alignment horizontal="center" vertical="center"/>
      <protection hidden="1"/>
    </xf>
    <xf numFmtId="0" fontId="1" fillId="0" borderId="67" xfId="2" applyBorder="1" applyAlignment="1" applyProtection="1">
      <alignment horizontal="center" vertical="center"/>
      <protection hidden="1"/>
    </xf>
    <xf numFmtId="0" fontId="1" fillId="0" borderId="6" xfId="2" applyBorder="1" applyAlignment="1" applyProtection="1">
      <alignment horizontal="center" vertical="center"/>
      <protection hidden="1"/>
    </xf>
    <xf numFmtId="0" fontId="1" fillId="0" borderId="69" xfId="2" applyBorder="1" applyAlignment="1" applyProtection="1">
      <alignment horizontal="center" vertical="center"/>
      <protection hidden="1"/>
    </xf>
    <xf numFmtId="0" fontId="1" fillId="0" borderId="24" xfId="2" applyBorder="1" applyAlignment="1" applyProtection="1">
      <alignment horizontal="center" vertical="center"/>
      <protection hidden="1"/>
    </xf>
    <xf numFmtId="0" fontId="1" fillId="0" borderId="17" xfId="2" applyBorder="1" applyAlignment="1" applyProtection="1">
      <alignment horizontal="center" vertical="center"/>
      <protection hidden="1"/>
    </xf>
    <xf numFmtId="0" fontId="1" fillId="0" borderId="23" xfId="2" applyBorder="1" applyAlignment="1" applyProtection="1">
      <alignment horizontal="center" vertical="center"/>
      <protection hidden="1"/>
    </xf>
    <xf numFmtId="0" fontId="1" fillId="0" borderId="19" xfId="2" applyBorder="1" applyAlignment="1" applyProtection="1">
      <alignment horizontal="center" vertical="center"/>
      <protection hidden="1"/>
    </xf>
    <xf numFmtId="0" fontId="1" fillId="0" borderId="16" xfId="2" applyBorder="1" applyAlignment="1" applyProtection="1">
      <alignment horizontal="center" vertical="center"/>
      <protection hidden="1"/>
    </xf>
    <xf numFmtId="0" fontId="1" fillId="0" borderId="18" xfId="2" applyBorder="1" applyAlignment="1" applyProtection="1">
      <alignment horizontal="center" vertical="center"/>
      <protection hidden="1"/>
    </xf>
    <xf numFmtId="0" fontId="1" fillId="0" borderId="0" xfId="2" applyBorder="1" applyAlignment="1" applyProtection="1">
      <alignment horizontal="center" vertical="center"/>
      <protection hidden="1"/>
    </xf>
    <xf numFmtId="0" fontId="1" fillId="0" borderId="61" xfId="2" applyBorder="1" applyAlignment="1" applyProtection="1">
      <alignment horizontal="center" vertical="center" shrinkToFit="1"/>
      <protection hidden="1"/>
    </xf>
    <xf numFmtId="0" fontId="1" fillId="0" borderId="62" xfId="2" applyBorder="1" applyAlignment="1" applyProtection="1">
      <alignment horizontal="center" vertical="center" shrinkToFit="1"/>
      <protection hidden="1"/>
    </xf>
    <xf numFmtId="0" fontId="1" fillId="0" borderId="18" xfId="2" applyBorder="1" applyAlignment="1" applyProtection="1">
      <alignment horizontal="center" vertical="center" shrinkToFit="1"/>
      <protection hidden="1"/>
    </xf>
    <xf numFmtId="0" fontId="1" fillId="0" borderId="20" xfId="2" applyBorder="1" applyAlignment="1" applyProtection="1">
      <alignment vertical="center" shrinkToFit="1"/>
      <protection hidden="1"/>
    </xf>
    <xf numFmtId="0" fontId="1" fillId="0" borderId="0" xfId="2" applyBorder="1" applyAlignment="1" applyProtection="1">
      <alignment vertical="center" shrinkToFit="1"/>
      <protection hidden="1"/>
    </xf>
    <xf numFmtId="0" fontId="1" fillId="0" borderId="66" xfId="2" applyBorder="1" applyAlignment="1" applyProtection="1">
      <alignment horizontal="center" vertical="top" wrapText="1"/>
      <protection hidden="1"/>
    </xf>
    <xf numFmtId="0" fontId="48" fillId="0" borderId="2" xfId="2" applyFont="1" applyBorder="1" applyAlignment="1" applyProtection="1">
      <alignment horizontal="center" vertical="center"/>
      <protection hidden="1"/>
    </xf>
    <xf numFmtId="0" fontId="3" fillId="0" borderId="18" xfId="2" applyFont="1" applyBorder="1" applyAlignment="1" applyProtection="1">
      <alignment horizontal="center" vertical="center"/>
      <protection hidden="1"/>
    </xf>
    <xf numFmtId="0" fontId="14" fillId="0" borderId="7" xfId="0" applyFont="1" applyBorder="1" applyAlignment="1" applyProtection="1">
      <alignment horizontal="center"/>
      <protection hidden="1"/>
    </xf>
    <xf numFmtId="0" fontId="14" fillId="0" borderId="8" xfId="0" applyFont="1" applyBorder="1" applyAlignment="1" applyProtection="1">
      <alignment horizontal="center"/>
      <protection hidden="1"/>
    </xf>
    <xf numFmtId="0" fontId="14" fillId="0" borderId="4" xfId="0" applyFont="1" applyBorder="1" applyAlignment="1" applyProtection="1">
      <alignment horizontal="center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4" fillId="0" borderId="5" xfId="0" applyFont="1" applyBorder="1" applyAlignment="1" applyProtection="1">
      <alignment horizontal="center"/>
      <protection hidden="1"/>
    </xf>
    <xf numFmtId="0" fontId="14" fillId="0" borderId="6" xfId="0" applyFont="1" applyBorder="1" applyAlignment="1" applyProtection="1">
      <alignment horizontal="center"/>
      <protection hidden="1"/>
    </xf>
    <xf numFmtId="0" fontId="5" fillId="0" borderId="7" xfId="0" applyFont="1" applyBorder="1" applyAlignment="1" applyProtection="1">
      <alignment horizontal="center"/>
      <protection hidden="1"/>
    </xf>
    <xf numFmtId="0" fontId="14" fillId="0" borderId="4" xfId="0" applyFont="1" applyFill="1" applyBorder="1" applyAlignment="1" applyProtection="1">
      <alignment horizontal="center"/>
      <protection hidden="1"/>
    </xf>
    <xf numFmtId="0" fontId="14" fillId="0" borderId="0" xfId="0" applyFont="1" applyFill="1" applyBorder="1" applyAlignment="1" applyProtection="1">
      <alignment horizontal="center"/>
      <protection hidden="1"/>
    </xf>
    <xf numFmtId="0" fontId="14" fillId="0" borderId="5" xfId="0" applyFont="1" applyFill="1" applyBorder="1" applyAlignment="1" applyProtection="1">
      <alignment horizontal="center"/>
      <protection hidden="1"/>
    </xf>
    <xf numFmtId="0" fontId="2" fillId="0" borderId="0" xfId="2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0" fontId="36" fillId="8" borderId="6" xfId="0" applyFont="1" applyFill="1" applyBorder="1" applyAlignment="1" applyProtection="1">
      <alignment horizontal="center"/>
      <protection hidden="1"/>
    </xf>
    <xf numFmtId="0" fontId="36" fillId="8" borderId="7" xfId="0" applyFont="1" applyFill="1" applyBorder="1" applyAlignment="1" applyProtection="1">
      <alignment horizontal="center"/>
      <protection hidden="1"/>
    </xf>
    <xf numFmtId="0" fontId="7" fillId="8" borderId="2" xfId="0" applyFont="1" applyFill="1" applyBorder="1" applyAlignment="1" applyProtection="1">
      <alignment horizontal="center"/>
      <protection hidden="1"/>
    </xf>
    <xf numFmtId="0" fontId="14" fillId="8" borderId="46" xfId="0" applyFont="1" applyFill="1" applyBorder="1" applyAlignment="1" applyProtection="1">
      <alignment horizontal="center" vertical="center"/>
      <protection hidden="1"/>
    </xf>
    <xf numFmtId="0" fontId="14" fillId="8" borderId="47" xfId="0" applyFont="1" applyFill="1" applyBorder="1" applyAlignment="1" applyProtection="1">
      <alignment horizontal="center" vertical="center"/>
      <protection hidden="1"/>
    </xf>
    <xf numFmtId="0" fontId="14" fillId="8" borderId="49" xfId="0" applyFont="1" applyFill="1" applyBorder="1" applyAlignment="1" applyProtection="1">
      <alignment horizontal="center" vertical="center"/>
      <protection hidden="1"/>
    </xf>
    <xf numFmtId="0" fontId="14" fillId="8" borderId="35" xfId="0" applyFont="1" applyFill="1" applyBorder="1" applyAlignment="1" applyProtection="1">
      <alignment horizontal="center" vertical="center"/>
      <protection hidden="1"/>
    </xf>
    <xf numFmtId="0" fontId="37" fillId="0" borderId="0" xfId="0" applyFont="1" applyBorder="1" applyAlignment="1" applyProtection="1">
      <alignment horizontal="center" vertical="top"/>
      <protection hidden="1"/>
    </xf>
    <xf numFmtId="0" fontId="18" fillId="5" borderId="24" xfId="0" applyFont="1" applyFill="1" applyBorder="1" applyAlignment="1" applyProtection="1">
      <alignment horizontal="center" vertical="center"/>
      <protection hidden="1"/>
    </xf>
    <xf numFmtId="0" fontId="18" fillId="5" borderId="16" xfId="0" applyFont="1" applyFill="1" applyBorder="1" applyAlignment="1" applyProtection="1">
      <alignment horizontal="center" vertical="center"/>
      <protection hidden="1"/>
    </xf>
    <xf numFmtId="0" fontId="18" fillId="5" borderId="17" xfId="0" applyFont="1" applyFill="1" applyBorder="1" applyAlignment="1" applyProtection="1">
      <alignment horizontal="center" vertical="center"/>
      <protection hidden="1"/>
    </xf>
    <xf numFmtId="0" fontId="18" fillId="5" borderId="23" xfId="0" applyFont="1" applyFill="1" applyBorder="1" applyAlignment="1" applyProtection="1">
      <alignment horizontal="center" vertical="center"/>
      <protection hidden="1"/>
    </xf>
    <xf numFmtId="0" fontId="18" fillId="5" borderId="18" xfId="0" applyFont="1" applyFill="1" applyBorder="1" applyAlignment="1" applyProtection="1">
      <alignment horizontal="center" vertical="center"/>
      <protection hidden="1"/>
    </xf>
    <xf numFmtId="0" fontId="18" fillId="5" borderId="19" xfId="0" applyFont="1" applyFill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center" vertical="center"/>
      <protection hidden="1"/>
    </xf>
    <xf numFmtId="0" fontId="0" fillId="0" borderId="44" xfId="0" applyFont="1" applyBorder="1" applyAlignment="1" applyProtection="1">
      <alignment horizontal="center" vertical="center"/>
      <protection hidden="1"/>
    </xf>
    <xf numFmtId="0" fontId="44" fillId="0" borderId="7" xfId="0" applyFont="1" applyBorder="1" applyAlignment="1" applyProtection="1">
      <alignment horizontal="center"/>
      <protection hidden="1"/>
    </xf>
    <xf numFmtId="0" fontId="2" fillId="5" borderId="6" xfId="2" applyFont="1" applyFill="1" applyBorder="1" applyAlignment="1" applyProtection="1">
      <alignment horizontal="center" vertical="center"/>
      <protection hidden="1"/>
    </xf>
    <xf numFmtId="0" fontId="2" fillId="5" borderId="7" xfId="2" applyFont="1" applyFill="1" applyBorder="1" applyAlignment="1" applyProtection="1">
      <alignment horizontal="center" vertical="center"/>
      <protection hidden="1"/>
    </xf>
    <xf numFmtId="0" fontId="2" fillId="5" borderId="69" xfId="2" applyFont="1" applyFill="1" applyBorder="1" applyAlignment="1" applyProtection="1">
      <alignment horizontal="center" vertical="center"/>
      <protection hidden="1"/>
    </xf>
    <xf numFmtId="0" fontId="2" fillId="5" borderId="1" xfId="2" applyFont="1" applyFill="1" applyBorder="1" applyAlignment="1" applyProtection="1">
      <alignment horizontal="center" vertical="center"/>
      <protection hidden="1"/>
    </xf>
    <xf numFmtId="0" fontId="2" fillId="5" borderId="2" xfId="2" applyFont="1" applyFill="1" applyBorder="1" applyAlignment="1" applyProtection="1">
      <alignment horizontal="center" vertical="center"/>
      <protection hidden="1"/>
    </xf>
    <xf numFmtId="0" fontId="2" fillId="5" borderId="67" xfId="2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0" fillId="0" borderId="5" xfId="0" applyBorder="1"/>
    <xf numFmtId="0" fontId="2" fillId="5" borderId="83" xfId="2" applyFont="1" applyFill="1" applyBorder="1" applyAlignment="1" applyProtection="1">
      <alignment horizontal="center" vertical="center"/>
      <protection hidden="1"/>
    </xf>
    <xf numFmtId="0" fontId="2" fillId="5" borderId="18" xfId="2" applyFont="1" applyFill="1" applyBorder="1" applyAlignment="1" applyProtection="1">
      <alignment horizontal="center" vertical="center"/>
      <protection hidden="1"/>
    </xf>
    <xf numFmtId="0" fontId="2" fillId="5" borderId="89" xfId="2" applyFont="1" applyFill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right" vertical="center"/>
      <protection hidden="1"/>
    </xf>
    <xf numFmtId="0" fontId="2" fillId="0" borderId="83" xfId="2" applyFont="1" applyFill="1" applyBorder="1" applyAlignment="1" applyProtection="1">
      <alignment horizontal="center" vertical="center"/>
      <protection hidden="1"/>
    </xf>
    <xf numFmtId="0" fontId="2" fillId="0" borderId="18" xfId="2" applyFont="1" applyFill="1" applyBorder="1" applyAlignment="1" applyProtection="1">
      <alignment horizontal="center" vertical="center"/>
      <protection hidden="1"/>
    </xf>
    <xf numFmtId="0" fontId="2" fillId="0" borderId="89" xfId="2" applyFont="1" applyFill="1" applyBorder="1" applyAlignment="1" applyProtection="1">
      <alignment horizontal="center" vertical="center"/>
      <protection hidden="1"/>
    </xf>
    <xf numFmtId="0" fontId="2" fillId="5" borderId="82" xfId="2" applyFont="1" applyFill="1" applyBorder="1" applyAlignment="1" applyProtection="1">
      <alignment horizontal="center" vertical="center"/>
      <protection hidden="1"/>
    </xf>
    <xf numFmtId="0" fontId="2" fillId="5" borderId="16" xfId="2" applyFont="1" applyFill="1" applyBorder="1" applyAlignment="1" applyProtection="1">
      <alignment horizontal="center" vertical="center"/>
      <protection hidden="1"/>
    </xf>
    <xf numFmtId="0" fontId="2" fillId="5" borderId="101" xfId="2" applyFont="1" applyFill="1" applyBorder="1" applyAlignment="1" applyProtection="1">
      <alignment horizontal="center" vertical="center"/>
      <protection hidden="1"/>
    </xf>
    <xf numFmtId="0" fontId="2" fillId="0" borderId="1" xfId="2" applyFont="1" applyFill="1" applyBorder="1" applyAlignment="1" applyProtection="1">
      <alignment horizontal="center" vertical="center"/>
      <protection hidden="1"/>
    </xf>
    <xf numFmtId="0" fontId="2" fillId="0" borderId="2" xfId="2" applyFont="1" applyFill="1" applyBorder="1" applyAlignment="1" applyProtection="1">
      <alignment horizontal="center" vertical="center"/>
      <protection hidden="1"/>
    </xf>
    <xf numFmtId="0" fontId="2" fillId="0" borderId="67" xfId="2" applyFont="1" applyFill="1" applyBorder="1" applyAlignment="1" applyProtection="1">
      <alignment horizontal="center" vertical="center"/>
      <protection hidden="1"/>
    </xf>
    <xf numFmtId="0" fontId="2" fillId="0" borderId="6" xfId="2" applyFont="1" applyFill="1" applyBorder="1" applyAlignment="1" applyProtection="1">
      <alignment horizontal="center" vertical="center"/>
      <protection hidden="1"/>
    </xf>
    <xf numFmtId="0" fontId="2" fillId="0" borderId="7" xfId="2" applyFont="1" applyFill="1" applyBorder="1" applyAlignment="1" applyProtection="1">
      <alignment horizontal="center" vertical="center"/>
      <protection hidden="1"/>
    </xf>
    <xf numFmtId="0" fontId="2" fillId="0" borderId="69" xfId="2" applyFont="1" applyFill="1" applyBorder="1" applyAlignment="1" applyProtection="1">
      <alignment horizontal="center" vertical="center"/>
      <protection hidden="1"/>
    </xf>
    <xf numFmtId="0" fontId="13" fillId="8" borderId="2" xfId="0" applyFont="1" applyFill="1" applyBorder="1" applyAlignment="1" applyProtection="1">
      <alignment horizontal="center"/>
      <protection hidden="1"/>
    </xf>
    <xf numFmtId="0" fontId="14" fillId="8" borderId="23" xfId="0" applyFont="1" applyFill="1" applyBorder="1" applyAlignment="1" applyProtection="1">
      <alignment horizontal="center" vertical="center"/>
      <protection hidden="1"/>
    </xf>
    <xf numFmtId="0" fontId="14" fillId="8" borderId="18" xfId="0" applyFont="1" applyFill="1" applyBorder="1" applyAlignment="1" applyProtection="1">
      <alignment horizontal="center" vertical="center"/>
      <protection hidden="1"/>
    </xf>
    <xf numFmtId="0" fontId="24" fillId="5" borderId="32" xfId="0" applyFont="1" applyFill="1" applyBorder="1" applyAlignment="1" applyProtection="1">
      <alignment horizontal="right" vertical="center"/>
      <protection locked="0"/>
    </xf>
    <xf numFmtId="0" fontId="24" fillId="5" borderId="23" xfId="0" applyFont="1" applyFill="1" applyBorder="1" applyAlignment="1" applyProtection="1">
      <alignment horizontal="right" vertical="center"/>
      <protection locked="0"/>
    </xf>
    <xf numFmtId="0" fontId="9" fillId="5" borderId="2" xfId="0" applyFont="1" applyFill="1" applyBorder="1" applyAlignment="1" applyProtection="1">
      <alignment horizontal="left" vertical="center"/>
      <protection hidden="1"/>
    </xf>
    <xf numFmtId="1" fontId="2" fillId="0" borderId="82" xfId="2" applyNumberFormat="1" applyFont="1" applyFill="1" applyBorder="1" applyAlignment="1" applyProtection="1">
      <alignment horizontal="center" vertical="center"/>
      <protection hidden="1"/>
    </xf>
    <xf numFmtId="1" fontId="2" fillId="0" borderId="16" xfId="2" applyNumberFormat="1" applyFont="1" applyFill="1" applyBorder="1" applyAlignment="1" applyProtection="1">
      <alignment horizontal="center" vertical="center"/>
      <protection hidden="1"/>
    </xf>
    <xf numFmtId="1" fontId="2" fillId="0" borderId="101" xfId="2" applyNumberFormat="1" applyFont="1" applyFill="1" applyBorder="1" applyAlignment="1" applyProtection="1">
      <alignment horizontal="center" vertical="center"/>
      <protection hidden="1"/>
    </xf>
    <xf numFmtId="0" fontId="4" fillId="8" borderId="46" xfId="0" applyFont="1" applyFill="1" applyBorder="1" applyAlignment="1" applyProtection="1">
      <alignment horizontal="center" vertical="center"/>
      <protection hidden="1"/>
    </xf>
    <xf numFmtId="0" fontId="4" fillId="8" borderId="47" xfId="0" applyFont="1" applyFill="1" applyBorder="1" applyAlignment="1" applyProtection="1">
      <alignment horizontal="center" vertical="center"/>
      <protection hidden="1"/>
    </xf>
    <xf numFmtId="0" fontId="4" fillId="8" borderId="75" xfId="0" applyFont="1" applyFill="1" applyBorder="1" applyAlignment="1" applyProtection="1">
      <alignment horizontal="center" vertical="center"/>
      <protection hidden="1"/>
    </xf>
    <xf numFmtId="0" fontId="4" fillId="8" borderId="84" xfId="0" applyFont="1" applyFill="1" applyBorder="1" applyAlignment="1" applyProtection="1">
      <alignment horizontal="center" vertical="center"/>
      <protection hidden="1"/>
    </xf>
    <xf numFmtId="0" fontId="43" fillId="0" borderId="16" xfId="0" applyFont="1" applyBorder="1" applyAlignment="1" applyProtection="1">
      <alignment horizontal="left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4" fillId="0" borderId="6" xfId="0" applyFont="1" applyFill="1" applyBorder="1" applyAlignment="1" applyProtection="1">
      <alignment horizontal="center"/>
      <protection hidden="1"/>
    </xf>
    <xf numFmtId="0" fontId="14" fillId="0" borderId="7" xfId="0" applyFont="1" applyFill="1" applyBorder="1" applyAlignment="1" applyProtection="1">
      <alignment horizontal="center"/>
      <protection hidden="1"/>
    </xf>
    <xf numFmtId="0" fontId="14" fillId="0" borderId="8" xfId="0" applyFont="1" applyFill="1" applyBorder="1" applyAlignment="1" applyProtection="1">
      <alignment horizontal="center"/>
      <protection hidden="1"/>
    </xf>
    <xf numFmtId="0" fontId="16" fillId="0" borderId="43" xfId="0" applyFont="1" applyBorder="1" applyAlignment="1" applyProtection="1">
      <alignment horizontal="center" vertical="center"/>
      <protection hidden="1"/>
    </xf>
    <xf numFmtId="0" fontId="28" fillId="0" borderId="44" xfId="0" applyFont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horizontal="left" vertical="center"/>
      <protection hidden="1"/>
    </xf>
    <xf numFmtId="0" fontId="24" fillId="6" borderId="30" xfId="0" applyFont="1" applyFill="1" applyBorder="1" applyAlignment="1" applyProtection="1">
      <alignment horizontal="right" vertical="center"/>
      <protection locked="0"/>
    </xf>
    <xf numFmtId="0" fontId="24" fillId="6" borderId="31" xfId="0" applyFont="1" applyFill="1" applyBorder="1" applyAlignment="1" applyProtection="1">
      <alignment horizontal="right" vertical="center"/>
      <protection locked="0"/>
    </xf>
    <xf numFmtId="0" fontId="9" fillId="6" borderId="12" xfId="0" applyFont="1" applyFill="1" applyBorder="1" applyAlignment="1" applyProtection="1">
      <alignment horizontal="left" vertical="center"/>
      <protection hidden="1"/>
    </xf>
    <xf numFmtId="0" fontId="10" fillId="5" borderId="78" xfId="0" applyFont="1" applyFill="1" applyBorder="1" applyAlignment="1" applyProtection="1">
      <alignment vertical="center" wrapText="1"/>
      <protection hidden="1"/>
    </xf>
    <xf numFmtId="0" fontId="10" fillId="5" borderId="25" xfId="0" applyFont="1" applyFill="1" applyBorder="1" applyAlignment="1" applyProtection="1">
      <alignment vertical="center"/>
      <protection hidden="1"/>
    </xf>
    <xf numFmtId="0" fontId="10" fillId="5" borderId="57" xfId="0" applyFont="1" applyFill="1" applyBorder="1" applyAlignment="1" applyProtection="1">
      <alignment vertical="center"/>
      <protection hidden="1"/>
    </xf>
    <xf numFmtId="0" fontId="9" fillId="6" borderId="7" xfId="0" applyFont="1" applyFill="1" applyBorder="1" applyAlignment="1" applyProtection="1">
      <alignment horizontal="left" vertical="center"/>
      <protection hidden="1"/>
    </xf>
    <xf numFmtId="0" fontId="10" fillId="0" borderId="62" xfId="0" applyFont="1" applyBorder="1" applyAlignment="1" applyProtection="1">
      <alignment horizontal="center"/>
      <protection hidden="1"/>
    </xf>
    <xf numFmtId="0" fontId="9" fillId="5" borderId="18" xfId="0" applyFont="1" applyFill="1" applyBorder="1" applyAlignment="1" applyProtection="1">
      <alignment horizontal="left" vertical="center"/>
      <protection hidden="1"/>
    </xf>
    <xf numFmtId="0" fontId="16" fillId="10" borderId="24" xfId="0" applyFont="1" applyFill="1" applyBorder="1" applyAlignment="1" applyProtection="1">
      <alignment horizontal="center" vertical="center"/>
      <protection locked="0" hidden="1"/>
    </xf>
    <xf numFmtId="0" fontId="16" fillId="10" borderId="80" xfId="0" applyFont="1" applyFill="1" applyBorder="1" applyAlignment="1" applyProtection="1">
      <alignment horizontal="center" vertical="center"/>
      <protection locked="0" hidden="1"/>
    </xf>
    <xf numFmtId="0" fontId="16" fillId="10" borderId="23" xfId="0" applyFont="1" applyFill="1" applyBorder="1" applyAlignment="1" applyProtection="1">
      <alignment horizontal="center" vertical="center"/>
      <protection locked="0" hidden="1"/>
    </xf>
    <xf numFmtId="0" fontId="16" fillId="10" borderId="81" xfId="0" applyFont="1" applyFill="1" applyBorder="1" applyAlignment="1" applyProtection="1">
      <alignment horizontal="center" vertical="center"/>
      <protection locked="0" hidden="1"/>
    </xf>
    <xf numFmtId="0" fontId="16" fillId="10" borderId="82" xfId="0" applyFont="1" applyFill="1" applyBorder="1" applyAlignment="1" applyProtection="1">
      <alignment horizontal="center" vertical="center"/>
      <protection locked="0" hidden="1"/>
    </xf>
    <xf numFmtId="0" fontId="16" fillId="10" borderId="17" xfId="0" applyFont="1" applyFill="1" applyBorder="1" applyAlignment="1" applyProtection="1">
      <alignment horizontal="center" vertical="center"/>
      <protection locked="0" hidden="1"/>
    </xf>
    <xf numFmtId="0" fontId="16" fillId="10" borderId="83" xfId="0" applyFont="1" applyFill="1" applyBorder="1" applyAlignment="1" applyProtection="1">
      <alignment horizontal="center" vertical="center"/>
      <protection locked="0" hidden="1"/>
    </xf>
    <xf numFmtId="0" fontId="16" fillId="10" borderId="19" xfId="0" applyFont="1" applyFill="1" applyBorder="1" applyAlignment="1" applyProtection="1">
      <alignment horizontal="center" vertical="center"/>
      <protection locked="0" hidden="1"/>
    </xf>
    <xf numFmtId="0" fontId="9" fillId="4" borderId="7" xfId="0" applyFont="1" applyFill="1" applyBorder="1" applyAlignment="1" applyProtection="1">
      <alignment horizontal="left" vertical="center"/>
      <protection hidden="1"/>
    </xf>
    <xf numFmtId="0" fontId="24" fillId="2" borderId="32" xfId="0" applyFont="1" applyFill="1" applyBorder="1" applyAlignment="1" applyProtection="1">
      <alignment horizontal="right" vertical="center"/>
      <protection locked="0"/>
    </xf>
    <xf numFmtId="0" fontId="24" fillId="0" borderId="33" xfId="0" applyFont="1" applyBorder="1" applyAlignment="1" applyProtection="1">
      <alignment horizontal="right" vertical="center"/>
      <protection locked="0"/>
    </xf>
    <xf numFmtId="0" fontId="9" fillId="2" borderId="14" xfId="0" applyFont="1" applyFill="1" applyBorder="1" applyAlignment="1" applyProtection="1">
      <alignment horizontal="left" vertical="center"/>
      <protection hidden="1"/>
    </xf>
    <xf numFmtId="0" fontId="24" fillId="4" borderId="30" xfId="0" applyFont="1" applyFill="1" applyBorder="1" applyAlignment="1" applyProtection="1">
      <alignment horizontal="right" vertical="center"/>
      <protection locked="0"/>
    </xf>
    <xf numFmtId="0" fontId="24" fillId="0" borderId="31" xfId="0" applyFont="1" applyBorder="1" applyAlignment="1" applyProtection="1">
      <alignment horizontal="right" vertical="center"/>
      <protection locked="0"/>
    </xf>
    <xf numFmtId="0" fontId="9" fillId="4" borderId="12" xfId="0" applyFont="1" applyFill="1" applyBorder="1" applyAlignment="1" applyProtection="1">
      <alignment horizontal="left" vertical="center"/>
      <protection hidden="1"/>
    </xf>
    <xf numFmtId="0" fontId="9" fillId="5" borderId="14" xfId="0" applyFont="1" applyFill="1" applyBorder="1" applyAlignment="1" applyProtection="1">
      <alignment horizontal="left" vertical="center"/>
      <protection hidden="1"/>
    </xf>
    <xf numFmtId="0" fontId="24" fillId="5" borderId="33" xfId="0" applyFont="1" applyFill="1" applyBorder="1" applyAlignment="1" applyProtection="1">
      <alignment horizontal="right" vertical="center"/>
      <protection locked="0"/>
    </xf>
    <xf numFmtId="0" fontId="10" fillId="0" borderId="78" xfId="0" applyFont="1" applyFill="1" applyBorder="1" applyAlignment="1" applyProtection="1">
      <alignment vertical="center" wrapText="1"/>
      <protection hidden="1"/>
    </xf>
    <xf numFmtId="0" fontId="10" fillId="0" borderId="25" xfId="0" applyFont="1" applyFill="1" applyBorder="1" applyAlignment="1" applyProtection="1">
      <alignment vertical="center"/>
      <protection hidden="1"/>
    </xf>
    <xf numFmtId="0" fontId="10" fillId="0" borderId="74" xfId="0" applyFont="1" applyFill="1" applyBorder="1" applyAlignment="1" applyProtection="1">
      <alignment vertical="center"/>
      <protection hidden="1"/>
    </xf>
    <xf numFmtId="0" fontId="38" fillId="0" borderId="61" xfId="0" applyFont="1" applyBorder="1" applyAlignment="1" applyProtection="1">
      <alignment horizontal="center" vertical="center"/>
      <protection hidden="1"/>
    </xf>
    <xf numFmtId="0" fontId="38" fillId="0" borderId="62" xfId="0" applyFont="1" applyBorder="1" applyAlignment="1" applyProtection="1">
      <alignment horizontal="center" vertical="center"/>
      <protection hidden="1"/>
    </xf>
    <xf numFmtId="0" fontId="24" fillId="6" borderId="24" xfId="0" applyFont="1" applyFill="1" applyBorder="1" applyAlignment="1" applyProtection="1">
      <alignment horizontal="right" vertical="center"/>
      <protection locked="0"/>
    </xf>
    <xf numFmtId="0" fontId="24" fillId="5" borderId="31" xfId="0" applyFont="1" applyFill="1" applyBorder="1" applyAlignment="1" applyProtection="1">
      <alignment horizontal="right" vertical="center"/>
      <protection locked="0"/>
    </xf>
    <xf numFmtId="0" fontId="9" fillId="6" borderId="16" xfId="0" applyFont="1" applyFill="1" applyBorder="1" applyAlignment="1" applyProtection="1">
      <alignment horizontal="left" vertical="center"/>
      <protection hidden="1"/>
    </xf>
    <xf numFmtId="0" fontId="10" fillId="5" borderId="77" xfId="0" applyFont="1" applyFill="1" applyBorder="1" applyAlignment="1" applyProtection="1">
      <alignment vertical="center" wrapText="1"/>
      <protection hidden="1"/>
    </xf>
    <xf numFmtId="0" fontId="10" fillId="5" borderId="74" xfId="0" applyFont="1" applyFill="1" applyBorder="1" applyAlignment="1" applyProtection="1">
      <alignment vertical="center"/>
      <protection hidden="1"/>
    </xf>
    <xf numFmtId="0" fontId="24" fillId="6" borderId="24" xfId="0" applyNumberFormat="1" applyFont="1" applyFill="1" applyBorder="1" applyAlignment="1" applyProtection="1">
      <alignment horizontal="right" vertical="center"/>
      <protection locked="0"/>
    </xf>
    <xf numFmtId="0" fontId="24" fillId="5" borderId="31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 applyProtection="1">
      <alignment horizontal="left" vertical="top"/>
      <protection locked="0" hidden="1"/>
    </xf>
    <xf numFmtId="0" fontId="38" fillId="0" borderId="23" xfId="0" applyFont="1" applyBorder="1" applyAlignment="1" applyProtection="1">
      <alignment horizontal="center" vertical="center"/>
      <protection hidden="1"/>
    </xf>
    <xf numFmtId="0" fontId="38" fillId="0" borderId="18" xfId="0" applyFont="1" applyBorder="1" applyAlignment="1" applyProtection="1">
      <alignment horizontal="center" vertical="center"/>
      <protection hidden="1"/>
    </xf>
    <xf numFmtId="0" fontId="9" fillId="5" borderId="0" xfId="0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Border="1" applyAlignment="1" applyProtection="1">
      <alignment horizontal="left" vertical="center"/>
      <protection locked="0" hidden="1"/>
    </xf>
    <xf numFmtId="0" fontId="7" fillId="0" borderId="20" xfId="0" quotePrefix="1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3" fillId="5" borderId="77" xfId="2" applyFont="1" applyFill="1" applyBorder="1" applyAlignment="1" applyProtection="1">
      <alignment horizontal="center" vertical="center"/>
      <protection hidden="1"/>
    </xf>
    <xf numFmtId="0" fontId="3" fillId="5" borderId="57" xfId="2" applyFont="1" applyFill="1" applyBorder="1" applyAlignment="1" applyProtection="1">
      <alignment horizontal="center" vertical="center"/>
      <protection hidden="1"/>
    </xf>
    <xf numFmtId="0" fontId="3" fillId="5" borderId="73" xfId="2" applyFont="1" applyFill="1" applyBorder="1" applyAlignment="1" applyProtection="1">
      <alignment horizontal="center" vertical="center"/>
      <protection hidden="1"/>
    </xf>
    <xf numFmtId="0" fontId="3" fillId="5" borderId="59" xfId="2" applyFont="1" applyFill="1" applyBorder="1" applyAlignment="1" applyProtection="1">
      <alignment horizontal="center" vertical="center"/>
      <protection hidden="1"/>
    </xf>
    <xf numFmtId="0" fontId="14" fillId="10" borderId="0" xfId="0" applyFont="1" applyFill="1" applyBorder="1" applyAlignment="1" applyProtection="1">
      <alignment horizontal="left" vertical="center"/>
      <protection locked="0"/>
    </xf>
    <xf numFmtId="0" fontId="21" fillId="0" borderId="2" xfId="0" applyFont="1" applyBorder="1" applyAlignment="1" applyProtection="1">
      <alignment horizontal="left"/>
      <protection locked="0"/>
    </xf>
    <xf numFmtId="0" fontId="20" fillId="0" borderId="2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top" wrapText="1"/>
      <protection hidden="1"/>
    </xf>
    <xf numFmtId="0" fontId="22" fillId="0" borderId="0" xfId="0" applyFont="1" applyBorder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17" fillId="5" borderId="29" xfId="0" applyFont="1" applyFill="1" applyBorder="1" applyAlignment="1" applyProtection="1">
      <alignment horizontal="center" vertical="center"/>
      <protection locked="0"/>
    </xf>
    <xf numFmtId="0" fontId="17" fillId="5" borderId="34" xfId="0" applyFont="1" applyFill="1" applyBorder="1" applyAlignment="1" applyProtection="1">
      <alignment horizontal="center" vertical="center"/>
      <protection locked="0"/>
    </xf>
    <xf numFmtId="0" fontId="17" fillId="5" borderId="28" xfId="0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 applyProtection="1">
      <alignment horizontal="center" vertical="center" wrapText="1"/>
      <protection hidden="1"/>
    </xf>
    <xf numFmtId="0" fontId="3" fillId="0" borderId="18" xfId="2" applyFont="1" applyBorder="1" applyAlignment="1" applyProtection="1">
      <alignment horizontal="center" vertical="center" wrapText="1"/>
      <protection hidden="1"/>
    </xf>
    <xf numFmtId="0" fontId="40" fillId="5" borderId="18" xfId="2" applyFont="1" applyFill="1" applyBorder="1" applyAlignment="1" applyProtection="1">
      <alignment horizontal="center" vertical="center"/>
      <protection hidden="1"/>
    </xf>
    <xf numFmtId="0" fontId="40" fillId="5" borderId="89" xfId="2" applyFont="1" applyFill="1" applyBorder="1" applyAlignment="1" applyProtection="1">
      <alignment horizontal="center" vertical="center"/>
      <protection hidden="1"/>
    </xf>
    <xf numFmtId="0" fontId="36" fillId="5" borderId="88" xfId="2" applyFont="1" applyFill="1" applyBorder="1" applyAlignment="1" applyProtection="1">
      <alignment horizontal="center" vertical="center"/>
      <protection hidden="1"/>
    </xf>
    <xf numFmtId="0" fontId="36" fillId="5" borderId="18" xfId="2" applyFont="1" applyFill="1" applyBorder="1" applyAlignment="1" applyProtection="1">
      <alignment horizontal="center" vertical="center"/>
      <protection hidden="1"/>
    </xf>
    <xf numFmtId="0" fontId="36" fillId="5" borderId="89" xfId="2" applyFont="1" applyFill="1" applyBorder="1" applyAlignment="1" applyProtection="1">
      <alignment horizontal="center" vertical="center"/>
      <protection hidden="1"/>
    </xf>
    <xf numFmtId="0" fontId="16" fillId="0" borderId="2" xfId="0" applyFont="1" applyBorder="1" applyAlignment="1" applyProtection="1">
      <alignment horizontal="center" vertical="center"/>
      <protection hidden="1"/>
    </xf>
    <xf numFmtId="0" fontId="39" fillId="5" borderId="64" xfId="2" applyFont="1" applyFill="1" applyBorder="1" applyAlignment="1" applyProtection="1">
      <alignment horizontal="center" vertical="center"/>
    </xf>
    <xf numFmtId="0" fontId="39" fillId="5" borderId="62" xfId="2" applyFont="1" applyFill="1" applyBorder="1" applyAlignment="1" applyProtection="1">
      <alignment horizontal="center" vertical="center"/>
    </xf>
    <xf numFmtId="0" fontId="39" fillId="5" borderId="92" xfId="2" applyFont="1" applyFill="1" applyBorder="1" applyAlignment="1" applyProtection="1">
      <alignment horizontal="center" vertical="center"/>
    </xf>
    <xf numFmtId="0" fontId="45" fillId="0" borderId="0" xfId="0" applyFont="1" applyAlignment="1">
      <alignment horizontal="center" vertical="center" textRotation="90"/>
    </xf>
    <xf numFmtId="0" fontId="46" fillId="0" borderId="18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2 2" xfId="3"/>
    <cellStyle name="Normal 3" xfId="2"/>
  </cellStyles>
  <dxfs count="0"/>
  <tableStyles count="0" defaultTableStyle="TableStyleMedium9" defaultPivotStyle="PivotStyleLight16"/>
  <colors>
    <mruColors>
      <color rgb="FF0404F2"/>
      <color rgb="FFFFFF99"/>
      <color rgb="FFF4F5F6"/>
      <color rgb="FFD8D8D8"/>
      <color rgb="FFB3EDBE"/>
      <color rgb="FFF0DFDE"/>
      <color rgb="FFD1FDEB"/>
      <color rgb="FFA8F8B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1571625</xdr:colOff>
      <xdr:row>1</xdr:row>
      <xdr:rowOff>35720</xdr:rowOff>
    </xdr:from>
    <xdr:to>
      <xdr:col>29</xdr:col>
      <xdr:colOff>187098</xdr:colOff>
      <xdr:row>3</xdr:row>
      <xdr:rowOff>154781</xdr:rowOff>
    </xdr:to>
    <xdr:pic>
      <xdr:nvPicPr>
        <xdr:cNvPr id="2" name="Imagem 1" descr="LOGO 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44188" y="154783"/>
          <a:ext cx="984816" cy="7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1476376</xdr:colOff>
      <xdr:row>1</xdr:row>
      <xdr:rowOff>47623</xdr:rowOff>
    </xdr:from>
    <xdr:to>
      <xdr:col>6</xdr:col>
      <xdr:colOff>179995</xdr:colOff>
      <xdr:row>3</xdr:row>
      <xdr:rowOff>95247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28814" y="166686"/>
          <a:ext cx="715775" cy="666749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1571625</xdr:colOff>
      <xdr:row>1</xdr:row>
      <xdr:rowOff>35720</xdr:rowOff>
    </xdr:from>
    <xdr:to>
      <xdr:col>29</xdr:col>
      <xdr:colOff>187098</xdr:colOff>
      <xdr:row>3</xdr:row>
      <xdr:rowOff>154781</xdr:rowOff>
    </xdr:to>
    <xdr:pic>
      <xdr:nvPicPr>
        <xdr:cNvPr id="2" name="Imagem 1" descr="LOGO 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150020"/>
          <a:ext cx="1006248" cy="7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1476376</xdr:colOff>
      <xdr:row>1</xdr:row>
      <xdr:rowOff>47623</xdr:rowOff>
    </xdr:from>
    <xdr:to>
      <xdr:col>6</xdr:col>
      <xdr:colOff>179995</xdr:colOff>
      <xdr:row>3</xdr:row>
      <xdr:rowOff>95247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3576" y="161923"/>
          <a:ext cx="722919" cy="666749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1571625</xdr:colOff>
      <xdr:row>1</xdr:row>
      <xdr:rowOff>35720</xdr:rowOff>
    </xdr:from>
    <xdr:to>
      <xdr:col>29</xdr:col>
      <xdr:colOff>187098</xdr:colOff>
      <xdr:row>3</xdr:row>
      <xdr:rowOff>154781</xdr:rowOff>
    </xdr:to>
    <xdr:pic>
      <xdr:nvPicPr>
        <xdr:cNvPr id="2" name="Imagem 1" descr="LOGO 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150020"/>
          <a:ext cx="1006248" cy="7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1476376</xdr:colOff>
      <xdr:row>1</xdr:row>
      <xdr:rowOff>47623</xdr:rowOff>
    </xdr:from>
    <xdr:to>
      <xdr:col>6</xdr:col>
      <xdr:colOff>179995</xdr:colOff>
      <xdr:row>3</xdr:row>
      <xdr:rowOff>95247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3576" y="161923"/>
          <a:ext cx="722919" cy="666749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1571625</xdr:colOff>
      <xdr:row>1</xdr:row>
      <xdr:rowOff>35720</xdr:rowOff>
    </xdr:from>
    <xdr:to>
      <xdr:col>29</xdr:col>
      <xdr:colOff>187098</xdr:colOff>
      <xdr:row>3</xdr:row>
      <xdr:rowOff>154781</xdr:rowOff>
    </xdr:to>
    <xdr:pic>
      <xdr:nvPicPr>
        <xdr:cNvPr id="2" name="Imagem 1" descr="LOGO 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150020"/>
          <a:ext cx="1006248" cy="7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1476376</xdr:colOff>
      <xdr:row>1</xdr:row>
      <xdr:rowOff>47623</xdr:rowOff>
    </xdr:from>
    <xdr:to>
      <xdr:col>6</xdr:col>
      <xdr:colOff>179995</xdr:colOff>
      <xdr:row>3</xdr:row>
      <xdr:rowOff>95247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3576" y="161923"/>
          <a:ext cx="722919" cy="666749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1571625</xdr:colOff>
      <xdr:row>1</xdr:row>
      <xdr:rowOff>35720</xdr:rowOff>
    </xdr:from>
    <xdr:to>
      <xdr:col>29</xdr:col>
      <xdr:colOff>187098</xdr:colOff>
      <xdr:row>3</xdr:row>
      <xdr:rowOff>154781</xdr:rowOff>
    </xdr:to>
    <xdr:pic>
      <xdr:nvPicPr>
        <xdr:cNvPr id="2" name="Imagem 1" descr="LOGO D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25150" y="150020"/>
          <a:ext cx="1006248" cy="738186"/>
        </a:xfrm>
        <a:prstGeom prst="rect">
          <a:avLst/>
        </a:prstGeom>
      </xdr:spPr>
    </xdr:pic>
    <xdr:clientData/>
  </xdr:twoCellAnchor>
  <xdr:twoCellAnchor editAs="oneCell">
    <xdr:from>
      <xdr:col>3</xdr:col>
      <xdr:colOff>1476376</xdr:colOff>
      <xdr:row>1</xdr:row>
      <xdr:rowOff>47623</xdr:rowOff>
    </xdr:from>
    <xdr:to>
      <xdr:col>6</xdr:col>
      <xdr:colOff>179995</xdr:colOff>
      <xdr:row>3</xdr:row>
      <xdr:rowOff>95247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33576" y="161923"/>
          <a:ext cx="722919" cy="6667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CP157"/>
  <sheetViews>
    <sheetView showGridLines="0" zoomScale="80" zoomScaleNormal="80" workbookViewId="0">
      <selection activeCell="CG7" sqref="CG7"/>
    </sheetView>
  </sheetViews>
  <sheetFormatPr defaultRowHeight="12.75"/>
  <cols>
    <col min="1" max="1" width="1.42578125" style="1" customWidth="1"/>
    <col min="2" max="2" width="2.140625" style="1" customWidth="1"/>
    <col min="3" max="3" width="3.28515625" style="34" customWidth="1"/>
    <col min="4" max="4" width="24.140625" style="1" customWidth="1"/>
    <col min="5" max="5" width="2.85546875" style="1" customWidth="1"/>
    <col min="6" max="9" width="3.28515625" style="1" customWidth="1"/>
    <col min="10" max="10" width="3.28515625" style="34" customWidth="1"/>
    <col min="11" max="11" width="24.140625" style="1" customWidth="1"/>
    <col min="12" max="12" width="2.85546875" style="1" customWidth="1"/>
    <col min="13" max="13" width="3.42578125" style="1" customWidth="1"/>
    <col min="14" max="16" width="3.28515625" style="1" customWidth="1"/>
    <col min="17" max="17" width="3.28515625" style="34" customWidth="1"/>
    <col min="18" max="18" width="24.140625" style="1" customWidth="1"/>
    <col min="19" max="19" width="2.85546875" style="1" customWidth="1"/>
    <col min="20" max="23" width="3.28515625" style="1" customWidth="1"/>
    <col min="24" max="24" width="3.28515625" style="34" customWidth="1"/>
    <col min="25" max="25" width="24.140625" style="1" customWidth="1"/>
    <col min="26" max="26" width="1.85546875" style="1" customWidth="1"/>
    <col min="27" max="29" width="3.28515625" style="1" customWidth="1"/>
    <col min="30" max="30" width="4" style="1" customWidth="1"/>
    <col min="31" max="31" width="6.140625" style="1" customWidth="1"/>
    <col min="32" max="32" width="5" style="1" hidden="1" customWidth="1"/>
    <col min="33" max="36" width="5.85546875" style="1" hidden="1" customWidth="1"/>
    <col min="37" max="38" width="6.85546875" style="1" hidden="1" customWidth="1"/>
    <col min="39" max="39" width="6.7109375" style="1" hidden="1" customWidth="1"/>
    <col min="40" max="41" width="9.140625" style="1" hidden="1" customWidth="1"/>
    <col min="42" max="45" width="3.28515625" style="1" hidden="1" customWidth="1"/>
    <col min="46" max="46" width="11" style="1" hidden="1" customWidth="1"/>
    <col min="47" max="48" width="9.140625" style="1" hidden="1" customWidth="1"/>
    <col min="49" max="49" width="14" style="1" hidden="1" customWidth="1"/>
    <col min="50" max="51" width="9.140625" style="1" hidden="1" customWidth="1"/>
    <col min="52" max="52" width="13.85546875" style="1" hidden="1" customWidth="1"/>
    <col min="53" max="53" width="2.85546875" style="1" hidden="1" customWidth="1"/>
    <col min="54" max="54" width="34.7109375" style="1" hidden="1" customWidth="1"/>
    <col min="55" max="55" width="8.140625" style="1" hidden="1" customWidth="1"/>
    <col min="56" max="77" width="3.28515625" style="1" hidden="1" customWidth="1"/>
    <col min="78" max="85" width="3.28515625" style="1" customWidth="1"/>
    <col min="86" max="86" width="2.85546875" style="1" customWidth="1"/>
    <col min="87" max="87" width="9.140625" style="1"/>
    <col min="88" max="88" width="7.5703125" style="1" customWidth="1"/>
    <col min="89" max="91" width="9.140625" style="1"/>
    <col min="92" max="92" width="22" style="1" customWidth="1"/>
    <col min="93" max="94" width="27.28515625" style="1" customWidth="1"/>
    <col min="95" max="16384" width="9.140625" style="1"/>
  </cols>
  <sheetData>
    <row r="1" spans="2:72" ht="9" customHeight="1"/>
    <row r="2" spans="2:72" ht="28.5" customHeight="1">
      <c r="B2" s="125"/>
      <c r="C2" s="443" t="s">
        <v>239</v>
      </c>
      <c r="D2" s="443"/>
      <c r="E2" s="443"/>
      <c r="F2" s="443"/>
      <c r="G2" s="110"/>
      <c r="H2" s="444" t="s">
        <v>241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110"/>
      <c r="Z2" s="110"/>
      <c r="AA2" s="110"/>
      <c r="AB2" s="110"/>
      <c r="AC2" s="110"/>
      <c r="AD2" s="110" t="s">
        <v>18</v>
      </c>
      <c r="AE2" s="3"/>
      <c r="AN2" s="445" t="s">
        <v>61</v>
      </c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</row>
    <row r="3" spans="2:72" ht="20.25" customHeight="1">
      <c r="B3" s="126"/>
      <c r="C3" s="446" t="s">
        <v>240</v>
      </c>
      <c r="D3" s="446"/>
      <c r="E3" s="446"/>
      <c r="F3" s="446"/>
      <c r="G3" s="111"/>
      <c r="H3" s="447" t="s">
        <v>31</v>
      </c>
      <c r="I3" s="447"/>
      <c r="J3" s="447"/>
      <c r="K3" s="447"/>
      <c r="L3" s="447"/>
      <c r="M3" s="447"/>
      <c r="N3" s="447"/>
      <c r="O3" s="447"/>
      <c r="P3" s="112" t="s">
        <v>32</v>
      </c>
      <c r="Q3" s="448" t="s">
        <v>25</v>
      </c>
      <c r="R3" s="448"/>
      <c r="S3" s="448"/>
      <c r="T3" s="448"/>
      <c r="U3" s="448"/>
      <c r="V3" s="448"/>
      <c r="W3" s="448"/>
      <c r="X3" s="448"/>
      <c r="Y3" s="111"/>
      <c r="Z3" s="111"/>
      <c r="AA3" s="111"/>
      <c r="AB3" s="111"/>
      <c r="AC3" s="111"/>
      <c r="AD3" s="111"/>
      <c r="AE3" s="113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</row>
    <row r="4" spans="2:72" ht="13.5" customHeight="1" thickBot="1">
      <c r="B4" s="126"/>
      <c r="C4" s="115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P4" s="114" t="s">
        <v>20</v>
      </c>
      <c r="Q4" s="115"/>
      <c r="R4" s="114"/>
      <c r="S4" s="114"/>
      <c r="T4" s="114"/>
      <c r="U4" s="114"/>
      <c r="V4" s="114"/>
      <c r="W4" s="114" t="s">
        <v>19</v>
      </c>
      <c r="X4" s="115"/>
      <c r="Y4" s="114"/>
      <c r="Z4" s="114"/>
      <c r="AA4" s="114"/>
      <c r="AB4" s="114"/>
      <c r="AC4" s="114"/>
      <c r="AD4" s="114"/>
      <c r="AE4" s="116"/>
      <c r="AF4" s="106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</row>
    <row r="5" spans="2:72" ht="28.5" customHeight="1" thickBot="1">
      <c r="B5" s="126"/>
      <c r="C5" s="449" t="s">
        <v>7</v>
      </c>
      <c r="D5" s="450"/>
      <c r="E5" s="450"/>
      <c r="F5" s="450"/>
      <c r="G5" s="450"/>
      <c r="H5" s="450"/>
      <c r="I5" s="451"/>
      <c r="J5" s="449" t="s">
        <v>8</v>
      </c>
      <c r="K5" s="450"/>
      <c r="L5" s="450"/>
      <c r="M5" s="450"/>
      <c r="N5" s="450"/>
      <c r="O5" s="450"/>
      <c r="P5" s="451"/>
      <c r="Q5" s="449" t="s">
        <v>9</v>
      </c>
      <c r="R5" s="450"/>
      <c r="S5" s="450"/>
      <c r="T5" s="450"/>
      <c r="U5" s="450"/>
      <c r="V5" s="450"/>
      <c r="W5" s="451"/>
      <c r="X5" s="449" t="s">
        <v>10</v>
      </c>
      <c r="Y5" s="450"/>
      <c r="Z5" s="450"/>
      <c r="AA5" s="450"/>
      <c r="AB5" s="450"/>
      <c r="AC5" s="450"/>
      <c r="AD5" s="451"/>
      <c r="AE5" s="117"/>
      <c r="AF5" s="107"/>
      <c r="AG5" s="452" t="s">
        <v>48</v>
      </c>
      <c r="AH5" s="452"/>
      <c r="AI5" s="452"/>
      <c r="AJ5" s="452"/>
      <c r="AN5" s="454" t="s">
        <v>53</v>
      </c>
      <c r="AO5" s="454"/>
      <c r="AP5" s="454"/>
      <c r="AQ5" s="454"/>
      <c r="AR5" s="454"/>
      <c r="AS5" s="455"/>
      <c r="AT5" s="456" t="s">
        <v>52</v>
      </c>
      <c r="AU5" s="457"/>
      <c r="AV5" s="457"/>
      <c r="AW5" s="457"/>
      <c r="AX5" s="457"/>
      <c r="AY5" s="457"/>
      <c r="AZ5" s="458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</row>
    <row r="6" spans="2:72" ht="18" customHeight="1" thickBot="1">
      <c r="B6" s="126"/>
      <c r="C6" s="2"/>
      <c r="D6" s="459" t="s">
        <v>11</v>
      </c>
      <c r="E6" s="459"/>
      <c r="F6" s="459"/>
      <c r="G6" s="3"/>
      <c r="H6" s="4" t="s">
        <v>6</v>
      </c>
      <c r="I6" s="5"/>
      <c r="J6" s="2"/>
      <c r="K6" s="459" t="s">
        <v>11</v>
      </c>
      <c r="L6" s="459"/>
      <c r="M6" s="459"/>
      <c r="N6" s="3"/>
      <c r="O6" s="4" t="s">
        <v>6</v>
      </c>
      <c r="P6" s="5"/>
      <c r="Q6" s="2"/>
      <c r="R6" s="459" t="s">
        <v>11</v>
      </c>
      <c r="S6" s="459"/>
      <c r="T6" s="459"/>
      <c r="U6" s="3"/>
      <c r="V6" s="4" t="s">
        <v>6</v>
      </c>
      <c r="W6" s="5"/>
      <c r="X6" s="2"/>
      <c r="Y6" s="459" t="s">
        <v>11</v>
      </c>
      <c r="Z6" s="459"/>
      <c r="AA6" s="459"/>
      <c r="AB6" s="3"/>
      <c r="AC6" s="4" t="s">
        <v>6</v>
      </c>
      <c r="AD6" s="5"/>
      <c r="AE6" s="117"/>
      <c r="AF6" s="107"/>
      <c r="AG6" s="452"/>
      <c r="AH6" s="452"/>
      <c r="AI6" s="452"/>
      <c r="AJ6" s="452"/>
      <c r="AN6" s="241" t="s">
        <v>51</v>
      </c>
      <c r="AO6" s="242" t="s">
        <v>43</v>
      </c>
      <c r="AP6" s="460" t="s">
        <v>54</v>
      </c>
      <c r="AQ6" s="461"/>
      <c r="AR6" s="461"/>
      <c r="AS6" s="462"/>
      <c r="AT6" s="249" t="s">
        <v>62</v>
      </c>
      <c r="AU6" s="243" t="s">
        <v>55</v>
      </c>
      <c r="AV6" s="244" t="s">
        <v>56</v>
      </c>
      <c r="AW6" s="245" t="s">
        <v>57</v>
      </c>
      <c r="AX6" s="246" t="s">
        <v>58</v>
      </c>
      <c r="AY6" s="247" t="s">
        <v>59</v>
      </c>
      <c r="AZ6" s="248" t="s">
        <v>60</v>
      </c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</row>
    <row r="7" spans="2:72" ht="19.5" customHeight="1" thickBot="1">
      <c r="B7" s="126"/>
      <c r="C7" s="6"/>
      <c r="D7" s="442" t="s">
        <v>242</v>
      </c>
      <c r="E7" s="442"/>
      <c r="F7" s="442"/>
      <c r="G7" s="7" t="s">
        <v>17</v>
      </c>
      <c r="H7" s="8" t="str">
        <f>IF(COUNT(F$16,F$22,F$27)=0,"",SUM(AND(F$16&lt;&gt;"",F$17&lt;&gt;"",F$16&gt;F$17),AND(F$22&lt;&gt;"",F$23&lt;&gt;"",F$22&gt;F$23),AND(F$27&lt;&gt;"",F$26&lt;&gt;"",F$27&gt;F$26)))</f>
        <v/>
      </c>
      <c r="I7" s="9"/>
      <c r="J7" s="6"/>
      <c r="K7" s="442" t="s">
        <v>246</v>
      </c>
      <c r="L7" s="442"/>
      <c r="M7" s="442"/>
      <c r="N7" s="7" t="s">
        <v>17</v>
      </c>
      <c r="O7" s="8" t="str">
        <f>IF(COUNT(M$16,M$22,M$27)=0,"",SUM(AND(M$16&lt;&gt;"",M$17&lt;&gt;"",M$16&gt;M$17),AND(M$22&lt;&gt;"",M$23&lt;&gt;"",M$22&gt;M$23),AND(M$27&lt;&gt;"",M$26&lt;&gt;"",M$27&gt;M$26)))</f>
        <v/>
      </c>
      <c r="P7" s="9"/>
      <c r="Q7" s="6"/>
      <c r="R7" s="442" t="s">
        <v>248</v>
      </c>
      <c r="S7" s="442"/>
      <c r="T7" s="442"/>
      <c r="U7" s="7" t="s">
        <v>17</v>
      </c>
      <c r="V7" s="8" t="str">
        <f>IF(COUNT(T$16,T$22,T$27)=0,"",SUM(AND(T$16&lt;&gt;"",T$17&lt;&gt;"",T$16&gt;T$17),AND(T$22&lt;&gt;"",T$23&lt;&gt;"",T$22&gt;T$23),AND(T$27&lt;&gt;"",T$26&lt;&gt;"",T$27&gt;T$26)))</f>
        <v/>
      </c>
      <c r="W7" s="9"/>
      <c r="X7" s="6"/>
      <c r="Y7" s="442" t="s">
        <v>291</v>
      </c>
      <c r="Z7" s="442"/>
      <c r="AA7" s="442"/>
      <c r="AB7" s="7" t="s">
        <v>17</v>
      </c>
      <c r="AC7" s="8" t="str">
        <f>IF(COUNT(AA$16,AA$22,AA$27)=0,"",SUM(AND(AA$16&lt;&gt;"",AA$17&lt;&gt;"",AA$16&gt;AA$17),AND(AA$22&lt;&gt;"",AA$23&lt;&gt;"",AA$22&gt;AA$23),AND(AA$27&lt;&gt;"",AA$26&lt;&gt;"",AA$27&gt;AA$26)))</f>
        <v/>
      </c>
      <c r="AD7" s="9"/>
      <c r="AE7" s="113"/>
      <c r="AG7" s="453"/>
      <c r="AH7" s="453"/>
      <c r="AI7" s="453"/>
      <c r="AJ7" s="453"/>
      <c r="AN7" s="173">
        <f>IF($C16="","",$C16)</f>
        <v>1</v>
      </c>
      <c r="AO7" s="174" t="str">
        <f>IF($C$5="","",$C$5)</f>
        <v>Grupo A</v>
      </c>
      <c r="AP7" s="376" t="str">
        <f>IF($D$16="","",$D$16)</f>
        <v>Francisco Moreira (DSRNorte)</v>
      </c>
      <c r="AQ7" s="377" t="str">
        <f t="shared" ref="AQ7:AS22" si="0">IF($C$5="","",$C$5)</f>
        <v>Grupo A</v>
      </c>
      <c r="AR7" s="377" t="str">
        <f t="shared" si="0"/>
        <v>Grupo A</v>
      </c>
      <c r="AS7" s="378" t="str">
        <f t="shared" si="0"/>
        <v>Grupo A</v>
      </c>
      <c r="AT7" s="176" t="str">
        <f>IF(COUNT($F$16:$F$17)&lt;2,"",IF($F$16&gt;$F$17,"V",IF($F$16&lt;$F$17,"D","Empate??")))</f>
        <v/>
      </c>
      <c r="AU7" s="177" t="str">
        <f>IF(COUNT($F$16:$F$17)&lt;2,"",$F$16)</f>
        <v/>
      </c>
      <c r="AV7" s="178" t="str">
        <f>IF(COUNT($F$16:$F$17)&lt;2,"",$F$17)</f>
        <v/>
      </c>
      <c r="AW7" s="179" t="str">
        <f>IF(COUNT($AU$7:$AV$7)=0,"",$AU$7-$AV$7)</f>
        <v/>
      </c>
      <c r="AX7" s="178" t="str">
        <f>IF(COUNT($F$16:$F$17)&lt;2,"",SUM($G$16:$I$16))</f>
        <v/>
      </c>
      <c r="AY7" s="180" t="str">
        <f>IF(COUNT($F$16:$F$17)&lt;2,"",SUM($G$17:$I$17))</f>
        <v/>
      </c>
      <c r="AZ7" s="181" t="str">
        <f>IF(COUNT($AX7:$AY7)=0,"",$AX7-$AY7)</f>
        <v/>
      </c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</row>
    <row r="8" spans="2:72" ht="19.5" customHeight="1">
      <c r="B8" s="126"/>
      <c r="C8" s="6"/>
      <c r="D8" s="442" t="s">
        <v>251</v>
      </c>
      <c r="E8" s="442"/>
      <c r="F8" s="442"/>
      <c r="G8" s="10" t="s">
        <v>17</v>
      </c>
      <c r="H8" s="8" t="str">
        <f>IF(COUNT(F$18,F$23,F$24)=0,"",SUM(AND(F$18&lt;&gt;"",F$19&lt;&gt;"",F$18&gt;F$19),AND(F$22&lt;&gt;"",F$23&lt;&gt;"",F$23&gt;F$22),AND(F$24&lt;&gt;"",F$25&lt;&gt;"",F$24&gt;F$25)))</f>
        <v/>
      </c>
      <c r="I8" s="9"/>
      <c r="J8" s="6"/>
      <c r="K8" s="442" t="s">
        <v>249</v>
      </c>
      <c r="L8" s="442"/>
      <c r="M8" s="442"/>
      <c r="N8" s="10" t="s">
        <v>17</v>
      </c>
      <c r="O8" s="8" t="str">
        <f>IF(COUNT(M$18,M$23,M$24)=0,"",SUM(AND(M$18&lt;&gt;"",M$19&lt;&gt;"",M$18&gt;M$19),AND(M$22&lt;&gt;"",M$23&lt;&gt;"",M$23&gt;M$22),AND(M$24&lt;&gt;"",M$25&lt;&gt;"",M$24&gt;M$25)))</f>
        <v/>
      </c>
      <c r="P8" s="9"/>
      <c r="Q8" s="6"/>
      <c r="R8" s="442" t="s">
        <v>244</v>
      </c>
      <c r="S8" s="442"/>
      <c r="T8" s="442"/>
      <c r="U8" s="10" t="s">
        <v>17</v>
      </c>
      <c r="V8" s="8" t="str">
        <f>IF(COUNT(T$18,T$23,T$24)=0,"",SUM(AND(T$18&lt;&gt;"",T$19&lt;&gt;"",T$18&gt;T$19),AND(T$22&lt;&gt;"",T$23&lt;&gt;"",T$23&gt;T$22),AND(T$24&lt;&gt;"",T$25&lt;&gt;"",T$24&gt;T$25)))</f>
        <v/>
      </c>
      <c r="W8" s="9"/>
      <c r="X8" s="6"/>
      <c r="Y8" s="442" t="s">
        <v>250</v>
      </c>
      <c r="Z8" s="442"/>
      <c r="AA8" s="442"/>
      <c r="AB8" s="10" t="s">
        <v>17</v>
      </c>
      <c r="AC8" s="8" t="str">
        <f>IF(COUNT(AA$18,AA$23,AA$24)=0,"",SUM(AND(AA$18&lt;&gt;"",AA$19&lt;&gt;"",AA$18&gt;AA$19),AND(AA$22&lt;&gt;"",AA$23&lt;&gt;"",AA$23&gt;AA$22),AND(AA$24&lt;&gt;"",AA$25&lt;&gt;"",AA$24&gt;AA$25)))</f>
        <v/>
      </c>
      <c r="AD8" s="9"/>
      <c r="AE8" s="113"/>
      <c r="AG8" s="438" t="s">
        <v>41</v>
      </c>
      <c r="AH8" s="440" t="s">
        <v>42</v>
      </c>
      <c r="AI8" s="438" t="s">
        <v>41</v>
      </c>
      <c r="AJ8" s="440" t="s">
        <v>42</v>
      </c>
      <c r="AN8" s="182">
        <f>IF($C16="","",$C16)</f>
        <v>1</v>
      </c>
      <c r="AO8" s="171" t="str">
        <f t="shared" ref="AO8:AO18" si="1">IF($C$5="","",$C$5)</f>
        <v>Grupo A</v>
      </c>
      <c r="AP8" s="367" t="str">
        <f>IF($D$17="","",$D$17)</f>
        <v/>
      </c>
      <c r="AQ8" s="368" t="str">
        <f t="shared" si="0"/>
        <v>Grupo A</v>
      </c>
      <c r="AR8" s="368" t="str">
        <f t="shared" si="0"/>
        <v>Grupo A</v>
      </c>
      <c r="AS8" s="369" t="str">
        <f t="shared" si="0"/>
        <v>Grupo A</v>
      </c>
      <c r="AT8" s="183" t="str">
        <f>IF(COUNT($F$16:$F$17)&lt;2,"",IF($F$16&lt;$F$17,"V",IF($F$16&gt;$F$17,"D","Empate??")))</f>
        <v/>
      </c>
      <c r="AU8" s="184" t="str">
        <f>IF(COUNT($F$16:$F$17)&lt;2,"",$F$17)</f>
        <v/>
      </c>
      <c r="AV8" s="185" t="str">
        <f>IF(COUNT($F$16:$F$17)&lt;2,"",$F$16)</f>
        <v/>
      </c>
      <c r="AW8" s="186" t="str">
        <f>IF(COUNT($AU8:$AV8)=0,"",$AU8-$AV8)</f>
        <v/>
      </c>
      <c r="AX8" s="185" t="str">
        <f>IF(COUNT($F$16:$F$17)&lt;2,"",SUM($G$17:$I$17))</f>
        <v/>
      </c>
      <c r="AY8" s="187" t="str">
        <f>IF(COUNT($F$16:$F$17)&lt;2,"",SUM($G$16:$I$16))</f>
        <v/>
      </c>
      <c r="AZ8" s="188" t="str">
        <f t="shared" ref="AZ8:AZ54" si="2">IF(COUNT($AX8:$AY8)=0,"",$AX8-$AY8)</f>
        <v/>
      </c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</row>
    <row r="9" spans="2:72" ht="19.5" customHeight="1" thickBot="1">
      <c r="B9" s="126"/>
      <c r="C9" s="6"/>
      <c r="D9" s="442" t="s">
        <v>252</v>
      </c>
      <c r="E9" s="442"/>
      <c r="F9" s="442"/>
      <c r="G9" s="10" t="s">
        <v>17</v>
      </c>
      <c r="H9" s="8" t="str">
        <f>IF(COUNT(F$19,F$21,F$26)=0,"",SUM(AND(F$18&lt;&gt;"",F$19&lt;&gt;"",F$19&gt;F$18),AND(F$20&lt;&gt;"",F$21&lt;&gt;"",F$21&gt;F$20),AND(F$26&lt;&gt;"",F$27&lt;&gt;"",F$26&gt;F$27)))</f>
        <v/>
      </c>
      <c r="I9" s="9"/>
      <c r="J9" s="6"/>
      <c r="K9" s="442" t="s">
        <v>245</v>
      </c>
      <c r="L9" s="442"/>
      <c r="M9" s="442"/>
      <c r="N9" s="10" t="s">
        <v>17</v>
      </c>
      <c r="O9" s="8" t="str">
        <f>IF(COUNT(M$19,M$21,M$26)=0,"",SUM(AND(M$18&lt;&gt;"",M$19&lt;&gt;"",M$19&gt;M$18),AND(M$20&lt;&gt;"",M$21&lt;&gt;"",M$21&gt;M$20),AND(M$26&lt;&gt;"",M$27&lt;&gt;"",M$26&gt;M$27)))</f>
        <v/>
      </c>
      <c r="P9" s="9"/>
      <c r="Q9" s="6"/>
      <c r="R9" s="442" t="s">
        <v>247</v>
      </c>
      <c r="S9" s="442"/>
      <c r="T9" s="442"/>
      <c r="U9" s="10" t="s">
        <v>17</v>
      </c>
      <c r="V9" s="8" t="str">
        <f>IF(COUNT(T$19,T$21,T$26)=0,"",SUM(AND(T$18&lt;&gt;"",T$19&lt;&gt;"",T$19&gt;T$18),AND(T$20&lt;&gt;"",T$21&lt;&gt;"",T$21&gt;T$20),AND(T$26&lt;&gt;"",T$27&lt;&gt;"",T$26&gt;T$27)))</f>
        <v/>
      </c>
      <c r="W9" s="9"/>
      <c r="X9" s="6"/>
      <c r="Y9" s="442" t="s">
        <v>243</v>
      </c>
      <c r="Z9" s="442"/>
      <c r="AA9" s="442"/>
      <c r="AB9" s="10" t="s">
        <v>17</v>
      </c>
      <c r="AC9" s="8" t="str">
        <f>IF(COUNT(AA$19,AA$21,AA$26)=0,"",SUM(AND(AA$18&lt;&gt;"",AA$19&lt;&gt;"",AA$19&gt;AA$18),AND(AA$20&lt;&gt;"",AA$21&lt;&gt;"",AA$21&gt;AA$20),AND(AA$26&lt;&gt;"",AA$27&lt;&gt;"",AA$26&gt;AA$27)))</f>
        <v/>
      </c>
      <c r="AD9" s="9"/>
      <c r="AE9" s="113"/>
      <c r="AG9" s="439"/>
      <c r="AH9" s="441"/>
      <c r="AI9" s="439"/>
      <c r="AJ9" s="441"/>
      <c r="AN9" s="189">
        <f>IF($C18="","",$C18)</f>
        <v>2</v>
      </c>
      <c r="AO9" s="172" t="str">
        <f t="shared" si="1"/>
        <v>Grupo A</v>
      </c>
      <c r="AP9" s="364" t="str">
        <f>IF($D$18="","",$D$18)</f>
        <v>Vasco Murteira (DSRLisboa)</v>
      </c>
      <c r="AQ9" s="365" t="str">
        <f t="shared" si="0"/>
        <v>Grupo A</v>
      </c>
      <c r="AR9" s="365" t="str">
        <f t="shared" si="0"/>
        <v>Grupo A</v>
      </c>
      <c r="AS9" s="366" t="str">
        <f t="shared" si="0"/>
        <v>Grupo A</v>
      </c>
      <c r="AT9" s="190" t="str">
        <f>IF(COUNT($F$18:$F$19)&lt;2,"",IF($F$18&gt;$F$19,"V",IF($F$18&lt;$F$19,"D","Empate??")))</f>
        <v/>
      </c>
      <c r="AU9" s="191" t="str">
        <f>IF(COUNT($F$18:$F$19)&lt;2,"",$F$18)</f>
        <v/>
      </c>
      <c r="AV9" s="192" t="str">
        <f>IF(COUNT($F$18:$F$19)&lt;2,"",$F$19)</f>
        <v/>
      </c>
      <c r="AW9" s="193" t="str">
        <f t="shared" ref="AW9:AW54" si="3">IF(COUNT($AU9:$AV9)=0,"",$AU9-$AV9)</f>
        <v/>
      </c>
      <c r="AX9" s="192" t="str">
        <f>IF(COUNT($F$18:$F$19)&lt;2,"",SUM($G$18:$I$18))</f>
        <v/>
      </c>
      <c r="AY9" s="194" t="str">
        <f>IF(COUNT($F$18:$F$19)&lt;2,"",SUM($G$19:$I$19))</f>
        <v/>
      </c>
      <c r="AZ9" s="195" t="str">
        <f t="shared" si="2"/>
        <v/>
      </c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</row>
    <row r="10" spans="2:72" ht="19.5" customHeight="1" thickBot="1">
      <c r="B10" s="126"/>
      <c r="C10" s="6"/>
      <c r="D10" s="442"/>
      <c r="E10" s="442"/>
      <c r="F10" s="442"/>
      <c r="G10" s="10" t="s">
        <v>17</v>
      </c>
      <c r="H10" s="11" t="str">
        <f>IF(COUNT(F$17,F$20,F$25)=0,"",SUM(AND(F$16&lt;&gt;"",F$17&lt;&gt;"",F$17&gt;F$16),AND(F$20&lt;&gt;"",F$21&lt;&gt;"",F$20&gt;F$21),AND(F$24&lt;&gt;"",F$25&lt;&gt;"",F$25&gt;F$24)))</f>
        <v/>
      </c>
      <c r="I10" s="12"/>
      <c r="J10" s="6"/>
      <c r="K10" s="442"/>
      <c r="L10" s="442"/>
      <c r="M10" s="442"/>
      <c r="N10" s="10" t="s">
        <v>17</v>
      </c>
      <c r="O10" s="11" t="str">
        <f>IF(COUNT(M$17,M$20,M$25)=0,"",SUM(AND(M$16&lt;&gt;"",M$17&lt;&gt;"",M$17&gt;M$16),AND(M$20&lt;&gt;"",M$21&lt;&gt;"",M$20&gt;M$21),AND(M$24&lt;&gt;"",M$25&lt;&gt;"",M$25&gt;M$24)))</f>
        <v/>
      </c>
      <c r="P10" s="12"/>
      <c r="Q10" s="6"/>
      <c r="R10" s="442"/>
      <c r="S10" s="442"/>
      <c r="T10" s="442"/>
      <c r="U10" s="10" t="s">
        <v>17</v>
      </c>
      <c r="V10" s="11" t="str">
        <f>IF(COUNT(T$17,T$20,T$25)=0,"",SUM(AND(T$16&lt;&gt;"",T$17&lt;&gt;"",T$17&gt;T$16),AND(T$20&lt;&gt;"",T$21&lt;&gt;"",T$20&gt;T$21),AND(T$24&lt;&gt;"",T$25&lt;&gt;"",T$25&gt;T$24)))</f>
        <v/>
      </c>
      <c r="W10" s="12"/>
      <c r="X10" s="6"/>
      <c r="Y10" s="442"/>
      <c r="Z10" s="442"/>
      <c r="AA10" s="442"/>
      <c r="AB10" s="10" t="s">
        <v>17</v>
      </c>
      <c r="AC10" s="11" t="str">
        <f>IF(COUNT(AA$17,AA$20,AA$25)=0,"",SUM(AND(AA$16&lt;&gt;"",AA$17&lt;&gt;"",AA$17&gt;AA$16),AND(AA$20&lt;&gt;"",AA$21&lt;&gt;"",AA$20&gt;AA$21),AND(AA$24&lt;&gt;"",AA$25&lt;&gt;"",AA$25&gt;AA$24)))</f>
        <v/>
      </c>
      <c r="AD10" s="12"/>
      <c r="AE10" s="113"/>
      <c r="AG10" s="159">
        <f>$C$16</f>
        <v>1</v>
      </c>
      <c r="AH10" s="160"/>
      <c r="AI10" s="159">
        <f>$C$24</f>
        <v>17</v>
      </c>
      <c r="AJ10" s="160"/>
      <c r="AK10" s="431" t="s">
        <v>50</v>
      </c>
      <c r="AL10" s="432"/>
      <c r="AN10" s="182">
        <f>IF($C18="","",$C18)</f>
        <v>2</v>
      </c>
      <c r="AO10" s="171" t="str">
        <f t="shared" si="1"/>
        <v>Grupo A</v>
      </c>
      <c r="AP10" s="367" t="str">
        <f>IF($D$19="","",$D$19)</f>
        <v>Simão Boavista (DSRAlentejo)</v>
      </c>
      <c r="AQ10" s="368" t="str">
        <f t="shared" si="0"/>
        <v>Grupo A</v>
      </c>
      <c r="AR10" s="368" t="str">
        <f t="shared" si="0"/>
        <v>Grupo A</v>
      </c>
      <c r="AS10" s="369" t="str">
        <f t="shared" si="0"/>
        <v>Grupo A</v>
      </c>
      <c r="AT10" s="183" t="str">
        <f>IF(COUNT($F$18:$F$19)&lt;2,"",IF($F$18&lt;$F$19,"V",IF($F$18&gt;$F$19,"D","Empate??")))</f>
        <v/>
      </c>
      <c r="AU10" s="184" t="str">
        <f>IF(COUNT($F$18:$F$19)&lt;2,"",$F$19)</f>
        <v/>
      </c>
      <c r="AV10" s="185" t="str">
        <f>IF(COUNT($F$18:$F$19)&lt;2,"",$F$18)</f>
        <v/>
      </c>
      <c r="AW10" s="186" t="str">
        <f t="shared" si="3"/>
        <v/>
      </c>
      <c r="AX10" s="185" t="str">
        <f>IF(COUNT($F$18:$F$19)&lt;2,"",SUM($G$19:$I$19))</f>
        <v/>
      </c>
      <c r="AY10" s="187" t="str">
        <f>IF(COUNT($F$18:$F$19)&lt;2,"",SUM($G$18:$I$18))</f>
        <v/>
      </c>
      <c r="AZ10" s="188" t="str">
        <f t="shared" si="2"/>
        <v/>
      </c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</row>
    <row r="11" spans="2:72" ht="17.25" customHeight="1">
      <c r="B11" s="126"/>
      <c r="C11" s="435" t="s">
        <v>16</v>
      </c>
      <c r="D11" s="436"/>
      <c r="E11" s="436"/>
      <c r="F11" s="436"/>
      <c r="G11" s="436"/>
      <c r="H11" s="436"/>
      <c r="I11" s="437"/>
      <c r="J11" s="435" t="s">
        <v>16</v>
      </c>
      <c r="K11" s="436"/>
      <c r="L11" s="436"/>
      <c r="M11" s="436"/>
      <c r="N11" s="436"/>
      <c r="O11" s="436"/>
      <c r="P11" s="437"/>
      <c r="Q11" s="435" t="s">
        <v>16</v>
      </c>
      <c r="R11" s="436"/>
      <c r="S11" s="436"/>
      <c r="T11" s="436"/>
      <c r="U11" s="436"/>
      <c r="V11" s="436"/>
      <c r="W11" s="437"/>
      <c r="X11" s="435" t="s">
        <v>16</v>
      </c>
      <c r="Y11" s="436"/>
      <c r="Z11" s="436"/>
      <c r="AA11" s="436"/>
      <c r="AB11" s="436"/>
      <c r="AC11" s="436"/>
      <c r="AD11" s="437"/>
      <c r="AE11" s="113"/>
      <c r="AG11" s="109">
        <f>$C$18</f>
        <v>2</v>
      </c>
      <c r="AH11" s="161"/>
      <c r="AI11" s="109">
        <f>$C$26</f>
        <v>18</v>
      </c>
      <c r="AJ11" s="161"/>
      <c r="AK11" s="159">
        <f>$O$52</f>
        <v>33</v>
      </c>
      <c r="AL11" s="160"/>
      <c r="AN11" s="189">
        <f>IF($C20="","",$C20)</f>
        <v>9</v>
      </c>
      <c r="AO11" s="172" t="str">
        <f t="shared" si="1"/>
        <v>Grupo A</v>
      </c>
      <c r="AP11" s="364" t="str">
        <f>IF($D$20="","",$D$20)</f>
        <v/>
      </c>
      <c r="AQ11" s="365" t="str">
        <f t="shared" si="0"/>
        <v>Grupo A</v>
      </c>
      <c r="AR11" s="365" t="str">
        <f t="shared" si="0"/>
        <v>Grupo A</v>
      </c>
      <c r="AS11" s="366" t="str">
        <f t="shared" si="0"/>
        <v>Grupo A</v>
      </c>
      <c r="AT11" s="190" t="str">
        <f>IF(COUNT($F$20:$F$21)&lt;2,"",IF($F$20&gt;$F$21,"V",IF($F$20&lt;$F$21,"D","Empate??")))</f>
        <v/>
      </c>
      <c r="AU11" s="191" t="str">
        <f>IF(COUNT($F$20:$F$21)&lt;2,"",$F$20)</f>
        <v/>
      </c>
      <c r="AV11" s="192" t="str">
        <f>IF(COUNT($F$20:$F$21)&lt;2,"",$F$21)</f>
        <v/>
      </c>
      <c r="AW11" s="193" t="str">
        <f t="shared" si="3"/>
        <v/>
      </c>
      <c r="AX11" s="192" t="str">
        <f>IF(COUNT($F$20:$F$21)&lt;2,"",SUM($G$20:$I$20))</f>
        <v/>
      </c>
      <c r="AY11" s="194" t="str">
        <f>IF(COUNT($F$20:$F$21)&lt;2,"",SUM($G$21:$I$21))</f>
        <v/>
      </c>
      <c r="AZ11" s="195" t="str">
        <f t="shared" si="2"/>
        <v/>
      </c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</row>
    <row r="12" spans="2:72" ht="15" customHeight="1">
      <c r="B12" s="126"/>
      <c r="C12" s="13" t="s">
        <v>12</v>
      </c>
      <c r="D12" s="433" t="str">
        <f>IF(COUNTIF(H$7:H$10,"")&gt;2,"",IF(COUNTIF(H$7:H$10,"")=2,(IF(LARGE(H$7:H$10,1)=H$7,D$7,IF(LARGE(H$7:H$10,1)=H$8,D$8,IF(LARGE(H$7:H$10,1)=H$9,D$9,IF(LARGE(H$7:H$10,1)=H$10,D$10))))),IF(COUNTIF(H$7:H$10,"")=1,(IF(AND(LARGE(H$7:H$10,1)=LARGE(H$7:H$10,2),LARGE(H$7:H$10,2)=LARGE(H$7:H$10,3)),"empate entre 1º, 2º e 3º",IF(LARGE(H$7:H$10,1)=H$7,D$7,IF(LARGE(H$7:H$10,1)=H$8,D$8,IF(LARGE(H$7:H$10,1)=H$9,D$9,IF(LARGE(H$7:H$10,1)=H$10,D$10)))))),IF(COUNTIF(H$7:H$10,2)=2,"empate entre 1º e 2º",IF(COUNTIF(H$7:H$10,2)=3,"empate entre 1º, 2º e 3º",IF(LARGE(H$7:H$10,1)=H$7,D$7,IF(LARGE(H$7:H$10,1)=H$8,D$8,IF(LARGE(H$7:H$10,1)=H$9,D$9,IF(LARGE(H$7:H$10,1)=H$10,D$10)))))))))</f>
        <v/>
      </c>
      <c r="E12" s="433"/>
      <c r="F12" s="433"/>
      <c r="G12" s="433"/>
      <c r="H12" s="433"/>
      <c r="I12" s="14"/>
      <c r="J12" s="13" t="s">
        <v>12</v>
      </c>
      <c r="K12" s="433" t="str">
        <f>IF(COUNTIF(O$7:O$10,"")&gt;2,"",IF(COUNTIF(O$7:O$10,"")=2,(IF(LARGE(O$7:O$10,1)=O$7,K$7,IF(LARGE(O$7:O$10,1)=O$8,K$8,IF(LARGE(O$7:O$10,1)=O$9,K$9,IF(LARGE(O$7:O$10,1)=O$10,K$10))))),IF(COUNTIF(O$7:O$10,"")=1,(IF(AND(LARGE(O$7:O$10,1)=LARGE(O$7:O$10,2),LARGE(O$7:O$10,2)=LARGE(O$7:O$10,3)),"empate entre 1º, 2º e 3º",IF(LARGE(O$7:O$10,1)=O$7,K$7,IF(LARGE(O$7:O$10,1)=O$8,K$8,IF(LARGE(O$7:O$10,1)=O$9,K$9,IF(LARGE(O$7:O$10,1)=O$10,K$10)))))),IF(COUNTIF(O$7:O$10,2)=2,"empate entre 1º e 2º",IF(COUNTIF(O$7:O$10,2)=3,"empate entre 1º, 2º e 3º",IF(LARGE(O$7:O$10,1)=O$7,K$7,IF(LARGE(O$7:O$10,1)=O$8,K$8,IF(LARGE(O$7:O$10,1)=O$9,K$9,IF(LARGE(O$7:O$10,1)=O$10,K$10)))))))))</f>
        <v/>
      </c>
      <c r="L12" s="433"/>
      <c r="M12" s="433"/>
      <c r="N12" s="433"/>
      <c r="O12" s="433"/>
      <c r="P12" s="14"/>
      <c r="Q12" s="13" t="s">
        <v>12</v>
      </c>
      <c r="R12" s="433" t="str">
        <f>IF(COUNTIF(V$7:V$10,"")&gt;2,"",IF(COUNTIF(V$7:V$10,"")=2,(IF(LARGE(V$7:V$10,1)=V$7,R$7,IF(LARGE(V$7:V$10,1)=V$8,R$8,IF(LARGE(V$7:V$10,1)=V$9,R$9,IF(LARGE(V$7:V$10,1)=V$10,R$10))))),IF(COUNTIF(V$7:V$10,"")=1,(IF(AND(LARGE(V$7:V$10,1)=LARGE(V$7:V$10,2),LARGE(V$7:V$10,2)=LARGE(V$7:V$10,3)),"empate entre 1º, 2º e 3º",IF(LARGE(V$7:V$10,1)=V$7,R$7,IF(LARGE(V$7:V$10,1)=V$8,R$8,IF(LARGE(V$7:V$10,1)=V$9,R$9,IF(LARGE(V$7:V$10,1)=V$10,R$10)))))),IF(COUNTIF(V$7:V$10,2)=2,"empate entre 1º e 2º",IF(COUNTIF(V$7:V$10,2)=3,"empate entre 1º, 2º e 3º",IF(LARGE(V$7:V$10,1)=V$7,R$7,IF(LARGE(V$7:V$10,1)=V$8,R$8,IF(LARGE(V$7:V$10,1)=V$9,R$9,IF(LARGE(V$7:V$10,1)=V$10,R$10)))))))))</f>
        <v/>
      </c>
      <c r="S12" s="433"/>
      <c r="T12" s="433"/>
      <c r="U12" s="433"/>
      <c r="V12" s="433"/>
      <c r="W12" s="14"/>
      <c r="X12" s="13" t="s">
        <v>12</v>
      </c>
      <c r="Y12" s="433" t="str">
        <f>IF(COUNTIF(AC$7:AC$10,"")&gt;2,"",IF(COUNTIF(AC$7:AC$10,"")=2,(IF(LARGE(AC$7:AC$10,1)=AC$7,Y$7,IF(LARGE(AC$7:AC$10,1)=AC$8,Y$8,IF(LARGE(AC$7:AC$10,1)=AC$9,Y$9,IF(LARGE(AC$7:AC$10,1)=AC$10,Y$10))))),IF(COUNTIF(AC$7:AC$10,"")=1,(IF(AND(LARGE(AC$7:AC$10,1)=LARGE(AC$7:AC$10,2),LARGE(AC$7:AC$10,2)=LARGE(AC$7:AC$10,3)),"empate entre 1º, 2º e 3º",IF(LARGE(AC$7:AC$10,1)=AC$7,Y$7,IF(LARGE(AC$7:AC$10,1)=AC$8,Y$8,IF(LARGE(AC$7:AC$10,1)=AC$9,Y$9,IF(LARGE(AC$7:AC$10,1)=AC$10,Y$10)))))),IF(COUNTIF(AC$7:AC$10,2)=2,"empate entre 1º e 2º",IF(COUNTIF(AC$7:AC$10,2)=3,"empate entre 1º, 2º e 3º",IF(LARGE(AC$7:AC$10,1)=AC$7,Y$7,IF(LARGE(AC$7:AC$10,1)=AC$8,Y$8,IF(LARGE(AC$7:AC$10,1)=AC$9,Y$9,IF(LARGE(AC$7:AC$10,1)=AC$10,Y$10)))))))))</f>
        <v/>
      </c>
      <c r="Z12" s="433"/>
      <c r="AA12" s="433"/>
      <c r="AB12" s="433"/>
      <c r="AC12" s="433"/>
      <c r="AD12" s="14"/>
      <c r="AE12" s="113"/>
      <c r="AG12" s="109">
        <f>$J$16</f>
        <v>3</v>
      </c>
      <c r="AH12" s="161"/>
      <c r="AI12" s="109">
        <f>$J$24</f>
        <v>19</v>
      </c>
      <c r="AJ12" s="161"/>
      <c r="AK12" s="109">
        <f>$O$60</f>
        <v>34</v>
      </c>
      <c r="AL12" s="161"/>
      <c r="AN12" s="182">
        <f>IF($C20="","",$C20)</f>
        <v>9</v>
      </c>
      <c r="AO12" s="171" t="str">
        <f t="shared" si="1"/>
        <v>Grupo A</v>
      </c>
      <c r="AP12" s="367" t="str">
        <f>IF($D$21="","",$D$21)</f>
        <v>Simão Boavista (DSRAlentejo)</v>
      </c>
      <c r="AQ12" s="368" t="str">
        <f t="shared" si="0"/>
        <v>Grupo A</v>
      </c>
      <c r="AR12" s="368" t="str">
        <f t="shared" si="0"/>
        <v>Grupo A</v>
      </c>
      <c r="AS12" s="369" t="str">
        <f t="shared" si="0"/>
        <v>Grupo A</v>
      </c>
      <c r="AT12" s="183" t="str">
        <f>IF(COUNT($F$20:$F$21)&lt;2,"",IF($F$20&lt;$F$21,"V",IF($F$20&gt;$F$21,"D","Empate??")))</f>
        <v/>
      </c>
      <c r="AU12" s="184" t="str">
        <f>IF(COUNT($F$20:$F$21)&lt;2,"",$F$21)</f>
        <v/>
      </c>
      <c r="AV12" s="185" t="str">
        <f>IF(COUNT($F$20:$F$21)&lt;2,"",$F$20)</f>
        <v/>
      </c>
      <c r="AW12" s="186" t="str">
        <f t="shared" si="3"/>
        <v/>
      </c>
      <c r="AX12" s="185" t="str">
        <f>IF(COUNT($F$20:$F$21)&lt;2,"",SUM($G$21:$I$21))</f>
        <v/>
      </c>
      <c r="AY12" s="187" t="str">
        <f>IF(COUNT($F$20:$F$21)&lt;2,"",SUM($G$20:$I$20))</f>
        <v/>
      </c>
      <c r="AZ12" s="188" t="str">
        <f t="shared" si="2"/>
        <v/>
      </c>
      <c r="BB12" s="240"/>
      <c r="BC12" s="240"/>
    </row>
    <row r="13" spans="2:72" ht="15" customHeight="1">
      <c r="B13" s="126"/>
      <c r="C13" s="13" t="s">
        <v>13</v>
      </c>
      <c r="D13" s="433" t="str">
        <f>IF(COUNTIF(H$7:H$10,"")&gt;2,"",IF(COUNTIF(H$7:H$10,"")=2,(IF(LARGE(H$7:H$10,2)=H$7,D$7,IF(LARGE(H$7:H$10,2)=H$8,D$8,IF(LARGE(H$7:H$10,2)=H$9,D$9,IF(LARGE(H$7:H$10,2)=H$10,D$10))))),IF(COUNTIF(H$7:H$10,"")=1,(IF(AND(LARGE(H$7:H$10,1)=LARGE(H$7:H$10,2),LARGE(H$7:H$10,2)=LARGE(H$7:H$10,3)),"empate entre 1º, 2º e 3º",IF(LARGE(H$7:H$10,2)=H$7,D$7,IF(LARGE(H$7:H$10,2)=H$8,D$8,IF(LARGE(H$7:H$10,2)=H$9,D$9,IF(LARGE(H$7:H$10,2)=H$10,D$10)))))),IF(COUNTIF(H$7:H$10,2)=2,"empate entre 1º e 2º",IF(COUNTIF(H$7:H$10,2)=3,"empate entre 1º, 2º e 3º",IF(COUNTIF(H$7:H$10,1)=3,"empate entre 2º, 3º e 4º",IF(LARGE(H$7:H$10,2)=H$7,D$7,IF(LARGE(H$7:H$10,2)=H$8,D$8,IF(LARGE(H$7:H$10,2)=H$9,D$9,IF(LARGE(H$7:H$10,2)=H$10,D$10))))))))))</f>
        <v/>
      </c>
      <c r="E13" s="433"/>
      <c r="F13" s="433"/>
      <c r="G13" s="433"/>
      <c r="H13" s="433"/>
      <c r="I13" s="14"/>
      <c r="J13" s="13" t="s">
        <v>13</v>
      </c>
      <c r="K13" s="433" t="str">
        <f>IF(COUNTIF(O$7:O$10,"")&gt;2,"",IF(COUNTIF(O$7:O$10,"")=2,(IF(LARGE(O$7:O$10,2)=O$7,K$7,IF(LARGE(O$7:O$10,2)=O$8,K$8,IF(LARGE(O$7:O$10,2)=O$9,K$9,IF(LARGE(O$7:O$10,2)=O$10,K$10))))),IF(COUNTIF(O$7:O$10,"")=1,(IF(AND(LARGE(O$7:O$10,1)=LARGE(O$7:O$10,2),LARGE(O$7:O$10,2)=LARGE(O$7:O$10,3)),"empate entre 1º, 2º e 3º",IF(LARGE(O$7:O$10,2)=O$7,K$7,IF(LARGE(O$7:O$10,2)=O$8,K$8,IF(LARGE(O$7:O$10,2)=O$9,K$9,IF(LARGE(O$7:O$10,2)=O$10,K$10)))))),IF(COUNTIF(O$7:O$10,2)=2,"empate entre 1º e 2º",IF(COUNTIF(O$7:O$10,2)=3,"empate entre 1º, 2º e 3º",IF(COUNTIF(O$7:O$10,1)=3,"empate entre 2º, 3º e 4º",IF(LARGE(O$7:O$10,2)=O$7,K$7,IF(LARGE(O$7:O$10,2)=O$8,K$8,IF(LARGE(O$7:O$10,2)=O$9,K$9,IF(LARGE(O$7:O$10,2)=O$10,K$10))))))))))</f>
        <v/>
      </c>
      <c r="L13" s="433"/>
      <c r="M13" s="433"/>
      <c r="N13" s="433"/>
      <c r="O13" s="433"/>
      <c r="P13" s="14"/>
      <c r="Q13" s="13" t="s">
        <v>13</v>
      </c>
      <c r="R13" s="433" t="str">
        <f>IF(COUNTIF(V$7:V$10,"")&gt;2,"",IF(COUNTIF(V$7:V$10,"")=2,(IF(LARGE(V$7:V$10,2)=V$7,R$7,IF(LARGE(V$7:V$10,2)=V$8,R$8,IF(LARGE(V$7:V$10,2)=V$9,R$9,IF(LARGE(V$7:V$10,2)=V$10,R$10))))),IF(COUNTIF(V$7:V$10,"")=1,(IF(AND(LARGE(V$7:V$10,1)=LARGE(V$7:V$10,2),LARGE(V$7:V$10,2)=LARGE(V$7:V$10,3)),"empate entre 1º, 2º e 3º",IF(LARGE(V$7:V$10,2)=V$7,R$7,IF(LARGE(V$7:V$10,2)=V$8,R$8,IF(LARGE(V$7:V$10,2)=V$9,R$9,IF(LARGE(V$7:V$10,2)=V$10,R$10)))))),IF(COUNTIF(V$7:V$10,2)=2,"empate entre 1º e 2º",IF(COUNTIF(V$7:V$10,2)=3,"empate entre 1º, 2º e 3º",IF(COUNTIF(V$7:V$10,1)=3,"empate entre 2º, 3º e 4º",IF(LARGE(V$7:V$10,2)=V$7,R$7,IF(LARGE(V$7:V$10,2)=V$8,R$8,IF(LARGE(V$7:V$10,2)=V$9,R$9,IF(LARGE(V$7:V$10,2)=V$10,R$10))))))))))</f>
        <v/>
      </c>
      <c r="S13" s="433"/>
      <c r="T13" s="433"/>
      <c r="U13" s="433"/>
      <c r="V13" s="433"/>
      <c r="W13" s="14"/>
      <c r="X13" s="13" t="s">
        <v>13</v>
      </c>
      <c r="Y13" s="433" t="str">
        <f>IF(COUNTIF(AC$7:AC$10,"")&gt;2,"",IF(COUNTIF(AC$7:AC$10,"")=2,(IF(LARGE(AC$7:AC$10,2)=AC$7,Y$7,IF(LARGE(AC$7:AC$10,2)=AC$8,Y$8,IF(LARGE(AC$7:AC$10,2)=AC$9,Y$9,IF(LARGE(AC$7:AC$10,2)=AC$10,Y$10))))),IF(COUNTIF(AC$7:AC$10,"")=1,(IF(AND(LARGE(AC$7:AC$10,1)=LARGE(AC$7:AC$10,2),LARGE(AC$7:AC$10,2)=LARGE(AC$7:AC$10,3)),"empate entre 1º, 2º e 3º",IF(LARGE(AC$7:AC$10,2)=AC$7,Y$7,IF(LARGE(AC$7:AC$10,2)=AC$8,Y$8,IF(LARGE(AC$7:AC$10,2)=AC$9,Y$9,IF(LARGE(AC$7:AC$10,2)=AC$10,Y$10)))))),IF(COUNTIF(AC$7:AC$10,2)=2,"empate entre 1º e 2º",IF(COUNTIF(AC$7:AC$10,2)=3,"empate entre 1º, 2º e 3º",IF(COUNTIF(AC$7:AC$10,1)=3,"empate entre 2º, 3º e 4º",IF(LARGE(AC$7:AC$10,2)=AC$7,Y$7,IF(LARGE(AC$7:AC$10,2)=AC$8,Y$8,IF(LARGE(AC$7:AC$10,2)=AC$9,Y$9,IF(LARGE(AC$7:AC$10,2)=AC$10,Y$10))))))))))</f>
        <v/>
      </c>
      <c r="Z13" s="433"/>
      <c r="AA13" s="433"/>
      <c r="AB13" s="433"/>
      <c r="AC13" s="433"/>
      <c r="AD13" s="14"/>
      <c r="AE13" s="113"/>
      <c r="AG13" s="109">
        <f>$J$18</f>
        <v>4</v>
      </c>
      <c r="AH13" s="161"/>
      <c r="AI13" s="109">
        <f>$J$26</f>
        <v>20</v>
      </c>
      <c r="AJ13" s="161"/>
      <c r="AK13" s="109">
        <f>$V$56</f>
        <v>35</v>
      </c>
      <c r="AL13" s="161"/>
      <c r="AN13" s="189">
        <f>IF($C22="","",$C22)</f>
        <v>10</v>
      </c>
      <c r="AO13" s="172" t="str">
        <f t="shared" si="1"/>
        <v>Grupo A</v>
      </c>
      <c r="AP13" s="364" t="str">
        <f>IF($D$22="","",$D$22)</f>
        <v>Francisco Moreira (DSRNorte)</v>
      </c>
      <c r="AQ13" s="365" t="str">
        <f t="shared" si="0"/>
        <v>Grupo A</v>
      </c>
      <c r="AR13" s="365" t="str">
        <f t="shared" si="0"/>
        <v>Grupo A</v>
      </c>
      <c r="AS13" s="366" t="str">
        <f t="shared" si="0"/>
        <v>Grupo A</v>
      </c>
      <c r="AT13" s="190" t="str">
        <f>IF(COUNT($F$22:$F$23)&lt;2,"",IF($F$22&gt;$F$23,"V",IF($F$22&lt;$F$23,"D","Empate??")))</f>
        <v/>
      </c>
      <c r="AU13" s="191" t="str">
        <f>IF(COUNT($F$22:$F$23)&lt;2,"",$F$22)</f>
        <v/>
      </c>
      <c r="AV13" s="192" t="str">
        <f>IF(COUNT($F$22:$F$23)&lt;2,"",$F$23)</f>
        <v/>
      </c>
      <c r="AW13" s="193" t="str">
        <f t="shared" si="3"/>
        <v/>
      </c>
      <c r="AX13" s="192" t="str">
        <f>IF(COUNT($F$22:$F$23)&lt;2,"",SUM($G$22:$I$22))</f>
        <v/>
      </c>
      <c r="AY13" s="194" t="str">
        <f>IF(COUNT($F$22:$F$23)&lt;2,"",SUM($G$23:$I$23))</f>
        <v/>
      </c>
      <c r="AZ13" s="195" t="str">
        <f t="shared" si="2"/>
        <v/>
      </c>
    </row>
    <row r="14" spans="2:72" ht="15" customHeight="1" thickBot="1">
      <c r="B14" s="126"/>
      <c r="C14" s="6" t="s">
        <v>14</v>
      </c>
      <c r="D14" s="434" t="str">
        <f>IF(COUNTIF(H$7:H$10,"")&gt;=2,"",IF(COUNTIF(H$7:H$10,"")=1,(IF(LARGE(H$7:H$10,3)=1,"empate entre 1º, 2º e 3º",IF(LARGE(H$7:H$10,3)=H$7,D$7,IF(LARGE(H$7:H$10,3)=H$8,D$8,IF(LARGE(H$7:H$10,3)=H$9,D$9,IF(LARGE(H$7:H$10,3)=H$10,D$10)))))),IF(COUNTIF(H$7:H$10,2)=3,"empate entre 1º, 2º e 3º",IF(COUNTIF(H$7:H$10,1)=3,"empate entre 2º, 3º e 4º",IF(COUNTIF(H$7:H$10,1)=2,"empate entre 3º e 4º",IF(LARGE(H$7:H$10,3)=H$7,D$7,IF(LARGE(H$7:H$10,3)=H$8,D$8,IF(LARGE(H$7:H$10,3)=H$9,D$9,IF(LARGE(H$7:H$10,3)=H$10,D$10)))))))))</f>
        <v/>
      </c>
      <c r="E14" s="434"/>
      <c r="F14" s="434"/>
      <c r="G14" s="434"/>
      <c r="H14" s="434"/>
      <c r="I14" s="12"/>
      <c r="J14" s="15" t="s">
        <v>14</v>
      </c>
      <c r="K14" s="434" t="str">
        <f>IF(COUNTIF(O$7:O$10,"")&gt;=2,"",IF(COUNTIF(O$7:O$10,"")=1,(IF(LARGE(O$7:O$10,3)=1,"empate entre 1º, 2º e 3º",IF(LARGE(O$7:O$10,3)=O$7,K$7,IF(LARGE(O$7:O$10,3)=O$8,K$8,IF(LARGE(O$7:O$10,3)=O$9,K$9,IF(LARGE(O$7:O$10,3)=O$10,K$10)))))),IF(COUNTIF(O$7:O$10,2)=3,"empate entre 1º, 2º e 3º",IF(COUNTIF(O$7:O$10,1)=3,"empate entre 2º, 3º e 4º",IF(COUNTIF(O$7:O$10,1)=2,"empate entre 3º e 4º",IF(LARGE(O$7:O$10,3)=O$7,K$7,IF(LARGE(O$7:O$10,3)=O$8,K$8,IF(LARGE(O$7:O$10,3)=O$9,K$9,IF(LARGE(O$7:O$10,3)=O$10,K$10)))))))))</f>
        <v/>
      </c>
      <c r="L14" s="434"/>
      <c r="M14" s="434"/>
      <c r="N14" s="434"/>
      <c r="O14" s="434"/>
      <c r="P14" s="16"/>
      <c r="Q14" s="6" t="s">
        <v>14</v>
      </c>
      <c r="R14" s="434" t="str">
        <f>IF(COUNTIF(V$7:V$10,"")&gt;=2,"",IF(COUNTIF(V$7:V$10,"")=1,(IF(LARGE(V$7:V$10,3)=1,"empate entre 1º, 2º e 3º",IF(LARGE(V$7:V$10,3)=V$7,R$7,IF(LARGE(V$7:V$10,3)=V$8,R$8,IF(LARGE(V$7:V$10,3)=V$9,R$9,IF(LARGE(V$7:V$10,3)=V$10,R$10)))))),IF(COUNTIF(V$7:V$10,2)=3,"empate entre 1º, 2º e 3º",IF(COUNTIF(V$7:V$10,1)=3,"empate entre 2º, 3º e 4º",IF(COUNTIF(V$7:V$10,1)=2,"empate entre 3º e 4º",IF(LARGE(V$7:V$10,3)=V$7,R$7,IF(LARGE(V$7:V$10,3)=V$8,R$8,IF(LARGE(V$7:V$10,3)=V$9,R$9,IF(LARGE(V$7:V$10,3)=V$10,R$10)))))))))</f>
        <v/>
      </c>
      <c r="S14" s="434"/>
      <c r="T14" s="434"/>
      <c r="U14" s="434"/>
      <c r="V14" s="434"/>
      <c r="W14" s="12"/>
      <c r="X14" s="6" t="s">
        <v>14</v>
      </c>
      <c r="Y14" s="434" t="str">
        <f>IF(COUNTIF(AC$7:AC$10,"")&gt;=2,"",IF(COUNTIF(AC$7:AC$10,"")=1,(IF(LARGE(AC$7:AC$10,3)=1,"empate entre 1º, 2º e 3º",IF(LARGE(AC$7:AC$10,3)=AC$7,Y$7,IF(LARGE(AC$7:AC$10,3)=AC$8,Y$8,IF(LARGE(AC$7:AC$10,3)=AC$9,Y$9,IF(LARGE(AC$7:AC$10,3)=AC$10,Y$10)))))),IF(COUNTIF(AC$7:AC$10,2)=3,"empate entre 1º, 2º e 3º",IF(COUNTIF(AC$7:AC$10,1)=3,"empate entre 2º, 3º e 4º",IF(COUNTIF(AC$7:AC$10,1)=2,"empate entre 3º e 4º",IF(LARGE(AC$7:AC$10,3)=AC$7,Y$7,IF(LARGE(AC$7:AC$10,3)=AC$8,Y$8,IF(LARGE(AC$7:AC$10,3)=AC$9,Y$9,IF(LARGE(AC$7:AC$10,3)=AC$10,Y$10)))))))))</f>
        <v/>
      </c>
      <c r="Z14" s="434"/>
      <c r="AA14" s="434"/>
      <c r="AB14" s="434"/>
      <c r="AC14" s="434"/>
      <c r="AD14" s="12"/>
      <c r="AE14" s="113"/>
      <c r="AG14" s="109">
        <f>$Q$16</f>
        <v>5</v>
      </c>
      <c r="AH14" s="161"/>
      <c r="AI14" s="109">
        <f>$Q$24</f>
        <v>21</v>
      </c>
      <c r="AJ14" s="161"/>
      <c r="AK14" s="130">
        <f>$W$56</f>
        <v>36</v>
      </c>
      <c r="AL14" s="163"/>
      <c r="AN14" s="182">
        <f>IF($C22="","",$C22)</f>
        <v>10</v>
      </c>
      <c r="AO14" s="171" t="str">
        <f t="shared" si="1"/>
        <v>Grupo A</v>
      </c>
      <c r="AP14" s="367" t="str">
        <f>IF($D$23="","",$D$23)</f>
        <v>Vasco Murteira (DSRLisboa)</v>
      </c>
      <c r="AQ14" s="368" t="str">
        <f t="shared" si="0"/>
        <v>Grupo A</v>
      </c>
      <c r="AR14" s="368" t="str">
        <f t="shared" si="0"/>
        <v>Grupo A</v>
      </c>
      <c r="AS14" s="369" t="str">
        <f t="shared" si="0"/>
        <v>Grupo A</v>
      </c>
      <c r="AT14" s="183" t="str">
        <f>IF(COUNT($F$22:$F$23)&lt;2,"",IF($F$22&lt;$F$23,"V",IF($F$22&gt;$F$23,"D","Empate??")))</f>
        <v/>
      </c>
      <c r="AU14" s="184" t="str">
        <f>IF(COUNT($F$22:$F$23)&lt;2,"",$F$23)</f>
        <v/>
      </c>
      <c r="AV14" s="185" t="str">
        <f>IF(COUNT($F$22:$F$23)&lt;2,"",$F$22)</f>
        <v/>
      </c>
      <c r="AW14" s="186" t="str">
        <f t="shared" si="3"/>
        <v/>
      </c>
      <c r="AX14" s="185" t="str">
        <f>IF(COUNT($F$22:$F$23)&lt;2,"",SUM($G$23:$I$23))</f>
        <v/>
      </c>
      <c r="AY14" s="187" t="str">
        <f>IF(COUNT($F$22:$F$23)&lt;2,"",SUM($G$22:$I$22))</f>
        <v/>
      </c>
      <c r="AZ14" s="188" t="str">
        <f t="shared" si="2"/>
        <v/>
      </c>
    </row>
    <row r="15" spans="2:72" ht="19.5" customHeight="1" thickBot="1">
      <c r="B15" s="126"/>
      <c r="C15" s="17" t="s">
        <v>15</v>
      </c>
      <c r="D15" s="430" t="str">
        <f>IF(COUNTIF(H$7:H$10,"")&gt;=1,"",IF(COUNTIF(H$7:H$10,1)=3,"empate entre 2º, 3º e 4º",IF(COUNTIF(H$7:H$10,1)=2,"empate entre 3º e 4º",IF(LARGE(H$7:H$10,4)=H$7,D$7,IF(LARGE(H$7:H$10,4)=H$8,D$8,IF(LARGE(H$7:H$10,4)=H$9,D$9,IF(LARGE(H$7:H$10,4)=H$10,D$10)))))))</f>
        <v/>
      </c>
      <c r="E15" s="430"/>
      <c r="F15" s="430"/>
      <c r="G15" s="430"/>
      <c r="H15" s="430"/>
      <c r="I15" s="18"/>
      <c r="J15" s="19" t="s">
        <v>15</v>
      </c>
      <c r="K15" s="430" t="str">
        <f>IF(COUNTIF(O$7:O$10,"")&gt;=1,"",IF(COUNTIF(O$7:O$10,1)=3,"empate entre 2º, 3º e 4º",IF(COUNTIF(O$7:O$10,1)=2,"empate entre 3º e 4º",IF(LARGE(O$7:O$10,4)=O$7,K$7,IF(LARGE(O$7:O$10,4)=O$8,K$8,IF(LARGE(O$7:O$10,4)=O$9,K$9,IF(LARGE(O$7:O$10,4)=O$10,K$10)))))))</f>
        <v/>
      </c>
      <c r="L15" s="430"/>
      <c r="M15" s="430"/>
      <c r="N15" s="430"/>
      <c r="O15" s="430"/>
      <c r="P15" s="20"/>
      <c r="Q15" s="17" t="s">
        <v>15</v>
      </c>
      <c r="R15" s="430" t="str">
        <f>IF(COUNTIF(V$7:V$10,"")&gt;=1,"",IF(COUNTIF(V$7:V$10,1)=3,"empate entre 2º, 3º e 4º",IF(COUNTIF(V$7:V$10,1)=2,"empate entre 3º e 4º",IF(LARGE(V$7:V$10,4)=V$7,R$7,IF(LARGE(V$7:V$10,4)=V$8,R$8,IF(LARGE(V$7:V$10,4)=V$9,R$9,IF(LARGE(V$7:V$10,4)=V$10,R$10)))))))</f>
        <v/>
      </c>
      <c r="S15" s="430"/>
      <c r="T15" s="430"/>
      <c r="U15" s="430"/>
      <c r="V15" s="430"/>
      <c r="W15" s="18"/>
      <c r="X15" s="17" t="s">
        <v>15</v>
      </c>
      <c r="Y15" s="430" t="str">
        <f>IF(COUNTIF(AC$7:AC$10,"")&gt;=1,"",IF(COUNTIF(AC$7:AC$10,1)=3,"empate entre 2º, 3º e 4º",IF(COUNTIF(AC$7:AC$10,1)=2,"empate entre 3º e 4º",IF(LARGE(AC$7:AC$10,4)=AC$7,Y$7,IF(LARGE(AC$7:AC$10,4)=AC$8,Y$8,IF(LARGE(AC$7:AC$10,4)=AC$9,Y$9,IF(LARGE(AC$7:AC$10,4)=AC$10,Y$10)))))))</f>
        <v/>
      </c>
      <c r="Z15" s="430"/>
      <c r="AA15" s="430"/>
      <c r="AB15" s="430"/>
      <c r="AC15" s="430"/>
      <c r="AD15" s="18"/>
      <c r="AE15" s="113"/>
      <c r="AG15" s="109">
        <f>$Q$18</f>
        <v>6</v>
      </c>
      <c r="AH15" s="161"/>
      <c r="AI15" s="109">
        <f>$Q$26</f>
        <v>22</v>
      </c>
      <c r="AJ15" s="161"/>
      <c r="AK15" s="431" t="s">
        <v>230</v>
      </c>
      <c r="AL15" s="432"/>
      <c r="AN15" s="189">
        <f>IF($C24="","",$C24)</f>
        <v>17</v>
      </c>
      <c r="AO15" s="172" t="str">
        <f t="shared" si="1"/>
        <v>Grupo A</v>
      </c>
      <c r="AP15" s="364" t="str">
        <f>IF($D$24="","",$D$24)</f>
        <v>Vasco Murteira (DSRLisboa)</v>
      </c>
      <c r="AQ15" s="365" t="str">
        <f t="shared" si="0"/>
        <v>Grupo A</v>
      </c>
      <c r="AR15" s="365" t="str">
        <f t="shared" si="0"/>
        <v>Grupo A</v>
      </c>
      <c r="AS15" s="366" t="str">
        <f t="shared" si="0"/>
        <v>Grupo A</v>
      </c>
      <c r="AT15" s="190" t="str">
        <f>IF(COUNT($F$24:$F$25)&lt;2,"",IF($F$24&gt;$F$25,"V",IF($F$24&lt;$F$25,"D","Empate??")))</f>
        <v/>
      </c>
      <c r="AU15" s="191" t="str">
        <f>IF(COUNT($F$24:$F$25)&lt;2,"",$F$24)</f>
        <v/>
      </c>
      <c r="AV15" s="192" t="str">
        <f>IF(COUNT($F$24:$F$25)&lt;2,"",$F$25)</f>
        <v/>
      </c>
      <c r="AW15" s="193" t="str">
        <f t="shared" si="3"/>
        <v/>
      </c>
      <c r="AX15" s="192" t="str">
        <f>IF(COUNT($F$24:$F$25)&lt;2,"",SUM($G$24:$I$24))</f>
        <v/>
      </c>
      <c r="AY15" s="194" t="str">
        <f>IF(COUNT($F$24:$F$25)&lt;2,"",SUM($G$25:$I$25))</f>
        <v/>
      </c>
      <c r="AZ15" s="195" t="str">
        <f t="shared" si="2"/>
        <v/>
      </c>
    </row>
    <row r="16" spans="2:72" ht="15" customHeight="1">
      <c r="B16" s="126"/>
      <c r="C16" s="428">
        <v>1</v>
      </c>
      <c r="D16" s="425" t="str">
        <f>IF(D7="","",D7)</f>
        <v>Francisco Moreira (DSRNorte)</v>
      </c>
      <c r="E16" s="425"/>
      <c r="F16" s="21" t="str">
        <f>IF(COUNT(G16:I16)&lt;1,"",IF(SUM(IF(G16&gt;G17,1,0),IF(H16&gt;H17,1,0),IF(I16&gt;I17,1,0))&gt;2,"??",SUM(IF(G16&gt;G17,1,0),IF(H16&gt;H17,1,0),IF(I16&gt;I17,1,0))))</f>
        <v/>
      </c>
      <c r="G16" s="138"/>
      <c r="H16" s="139"/>
      <c r="I16" s="140"/>
      <c r="J16" s="423">
        <v>3</v>
      </c>
      <c r="K16" s="425" t="str">
        <f>IF(K7="","",K7)</f>
        <v>Pedro Nunes (DSRCentro)</v>
      </c>
      <c r="L16" s="425"/>
      <c r="M16" s="21" t="str">
        <f>IF(COUNT(N16:P16)&lt;1,"",IF(SUM(IF(N16&gt;N17,1,0),IF(O16&gt;O17,1,0),IF(P16&gt;P17,1,0))&gt;2,"??",SUM(IF(N16&gt;N17,1,0),IF(O16&gt;O17,1,0),IF(P16&gt;P17,1,0))))</f>
        <v/>
      </c>
      <c r="N16" s="138"/>
      <c r="O16" s="139"/>
      <c r="P16" s="140"/>
      <c r="Q16" s="423">
        <v>5</v>
      </c>
      <c r="R16" s="425" t="str">
        <f>IF(R7="","",R7)</f>
        <v>Gonçalo Gomes (DSRLisboa)</v>
      </c>
      <c r="S16" s="425"/>
      <c r="T16" s="21" t="str">
        <f>IF(COUNT(U16:W16)&lt;1,"",IF(SUM(IF(U16&gt;U17,1,0),IF(V16&gt;V17,1,0),IF(W16&gt;W17,1,0))&gt;2,"??",SUM(IF(U16&gt;U17,1,0),IF(V16&gt;V17,1,0),IF(W16&gt;W17,1,0))))</f>
        <v/>
      </c>
      <c r="U16" s="138"/>
      <c r="V16" s="139"/>
      <c r="W16" s="140"/>
      <c r="X16" s="423">
        <v>7</v>
      </c>
      <c r="Y16" s="425" t="str">
        <f>IF(Y7="","",Y7)</f>
        <v>David Duarte (DSRAlgarve)</v>
      </c>
      <c r="Z16" s="425"/>
      <c r="AA16" s="21" t="str">
        <f>IF(COUNT(AB16:AD16)&lt;1,"",IF(SUM(IF(AB16&gt;AB17,1,0),IF(AC16&gt;AC17,1,0),IF(AD16&gt;AD17,1,0))&gt;2,"??",SUM(IF(AB16&gt;AB17,1,0),IF(AC16&gt;AC17,1,0),IF(AD16&gt;AD17,1,0))))</f>
        <v/>
      </c>
      <c r="AB16" s="138"/>
      <c r="AC16" s="139"/>
      <c r="AD16" s="140"/>
      <c r="AE16" s="426" t="s">
        <v>44</v>
      </c>
      <c r="AG16" s="109">
        <f>$X$16</f>
        <v>7</v>
      </c>
      <c r="AH16" s="161"/>
      <c r="AI16" s="109">
        <f>$X$24</f>
        <v>23</v>
      </c>
      <c r="AJ16" s="161"/>
      <c r="AK16" s="159">
        <f>$O$70</f>
        <v>37</v>
      </c>
      <c r="AL16" s="160"/>
      <c r="AN16" s="182">
        <f>IF($C24="","",$C24)</f>
        <v>17</v>
      </c>
      <c r="AO16" s="171" t="str">
        <f t="shared" si="1"/>
        <v>Grupo A</v>
      </c>
      <c r="AP16" s="367" t="str">
        <f>IF($D$25="","",$D$25)</f>
        <v/>
      </c>
      <c r="AQ16" s="368" t="str">
        <f t="shared" si="0"/>
        <v>Grupo A</v>
      </c>
      <c r="AR16" s="368" t="str">
        <f t="shared" si="0"/>
        <v>Grupo A</v>
      </c>
      <c r="AS16" s="369" t="str">
        <f t="shared" si="0"/>
        <v>Grupo A</v>
      </c>
      <c r="AT16" s="183" t="str">
        <f>IF(COUNT($F$24:$F$25)&lt;2,"",IF($F$24&lt;$F$25,"V",IF($F$24&gt;$F$25,"D","Empate??")))</f>
        <v/>
      </c>
      <c r="AU16" s="184" t="str">
        <f>IF(COUNT($F$24:$F$25)&lt;2,"",$F$25)</f>
        <v/>
      </c>
      <c r="AV16" s="185" t="str">
        <f>IF(COUNT($F$24:$F$25)&lt;2,"",$F$24)</f>
        <v/>
      </c>
      <c r="AW16" s="186" t="str">
        <f t="shared" si="3"/>
        <v/>
      </c>
      <c r="AX16" s="185" t="str">
        <f>IF(COUNT($F$24:$F$25)&lt;2,"",SUM($G$25:$I$25))</f>
        <v/>
      </c>
      <c r="AY16" s="187" t="str">
        <f>IF(COUNT($F$24:$F$25)&lt;2,"",SUM($G$24:$I$24))</f>
        <v/>
      </c>
      <c r="AZ16" s="188" t="str">
        <f t="shared" si="2"/>
        <v/>
      </c>
    </row>
    <row r="17" spans="2:52" ht="15" customHeight="1">
      <c r="B17" s="126"/>
      <c r="C17" s="429"/>
      <c r="D17" s="398" t="str">
        <f>IF(D10="","",D10)</f>
        <v/>
      </c>
      <c r="E17" s="398"/>
      <c r="F17" s="22" t="str">
        <f>IF(COUNT(G17:I17)&lt;1,"",IF(SUM(IF(G17&gt;G16,1,0),IF(H17&gt;H16,1,0),IF(I17&gt;I16,1,0))&gt;2,"??",SUM(IF(G17&gt;G16,1,0),IF(H17&gt;H16,1,0),IF(I17&gt;I16,1,0))))</f>
        <v/>
      </c>
      <c r="G17" s="141"/>
      <c r="H17" s="142"/>
      <c r="I17" s="143"/>
      <c r="J17" s="424"/>
      <c r="K17" s="398" t="str">
        <f>IF(K10="","",K10)</f>
        <v/>
      </c>
      <c r="L17" s="398"/>
      <c r="M17" s="22" t="str">
        <f>IF(COUNT(N17:P17)&lt;1,"",IF(SUM(IF(N17&gt;N16,1,0),IF(O17&gt;O16,1,0),IF(P17&gt;P16,1,0))&gt;2,"??",SUM(IF(N17&gt;N16,1,0),IF(O17&gt;O16,1,0),IF(P17&gt;P16,1,0))))</f>
        <v/>
      </c>
      <c r="N17" s="141"/>
      <c r="O17" s="142"/>
      <c r="P17" s="143"/>
      <c r="Q17" s="424"/>
      <c r="R17" s="398" t="str">
        <f>IF(R10="","",R10)</f>
        <v/>
      </c>
      <c r="S17" s="398"/>
      <c r="T17" s="22" t="str">
        <f>IF(COUNT(U17:W17)&lt;1,"",IF(SUM(IF(U17&gt;U16,1,0),IF(V17&gt;V16,1,0),IF(W17&gt;W16,1,0))&gt;2,"??",SUM(IF(U17&gt;U16,1,0),IF(V17&gt;V16,1,0),IF(W17&gt;W16,1,0))))</f>
        <v/>
      </c>
      <c r="U17" s="141"/>
      <c r="V17" s="142"/>
      <c r="W17" s="143"/>
      <c r="X17" s="424"/>
      <c r="Y17" s="398" t="str">
        <f>IF(Y10="","",Y10)</f>
        <v/>
      </c>
      <c r="Z17" s="398"/>
      <c r="AA17" s="22" t="str">
        <f>IF(COUNT(AB17:AD17)&lt;1,"",IF(SUM(IF(AB17&gt;AB16,1,0),IF(AC17&gt;AC16,1,0),IF(AD17&gt;AD16,1,0))&gt;2,"??",SUM(IF(AB17&gt;AB16,1,0),IF(AC17&gt;AC16,1,0),IF(AD17&gt;AD16,1,0))))</f>
        <v/>
      </c>
      <c r="AB17" s="141"/>
      <c r="AC17" s="142"/>
      <c r="AD17" s="143"/>
      <c r="AE17" s="396"/>
      <c r="AG17" s="109">
        <f>$X$18</f>
        <v>8</v>
      </c>
      <c r="AH17" s="161"/>
      <c r="AI17" s="109">
        <f>$X$26</f>
        <v>24</v>
      </c>
      <c r="AJ17" s="161"/>
      <c r="AK17" s="109">
        <f>$O$78</f>
        <v>38</v>
      </c>
      <c r="AL17" s="161"/>
      <c r="AN17" s="189">
        <f>IF($C26="","",$C26)</f>
        <v>18</v>
      </c>
      <c r="AO17" s="172" t="str">
        <f t="shared" si="1"/>
        <v>Grupo A</v>
      </c>
      <c r="AP17" s="364" t="str">
        <f>IF($D$26="","",$D$26)</f>
        <v>Simão Boavista (DSRAlentejo)</v>
      </c>
      <c r="AQ17" s="365" t="str">
        <f t="shared" si="0"/>
        <v>Grupo A</v>
      </c>
      <c r="AR17" s="365" t="str">
        <f t="shared" si="0"/>
        <v>Grupo A</v>
      </c>
      <c r="AS17" s="366" t="str">
        <f t="shared" si="0"/>
        <v>Grupo A</v>
      </c>
      <c r="AT17" s="190" t="str">
        <f>IF(COUNT($F$26:$F$27)&lt;2,"",IF($F$26&gt;$F$27,"V",IF($F$26&lt;$F$27,"D","Empate??")))</f>
        <v/>
      </c>
      <c r="AU17" s="191" t="str">
        <f>IF(COUNT($F$26:$F$27)&lt;2,"",$F$26)</f>
        <v/>
      </c>
      <c r="AV17" s="192" t="str">
        <f>IF(COUNT($F$26:$F$27)&lt;2,"",$F$27)</f>
        <v/>
      </c>
      <c r="AW17" s="193" t="str">
        <f t="shared" si="3"/>
        <v/>
      </c>
      <c r="AX17" s="192" t="str">
        <f>IF(COUNT($F$26:$F$27)&lt;2,"",SUM($G$26:$I$26))</f>
        <v/>
      </c>
      <c r="AY17" s="194" t="str">
        <f>IF(COUNT($F$26:$F$27)&lt;2,"",SUM($G$27:$I$27))</f>
        <v/>
      </c>
      <c r="AZ17" s="195" t="str">
        <f t="shared" si="2"/>
        <v/>
      </c>
    </row>
    <row r="18" spans="2:52" ht="15" customHeight="1" thickBot="1">
      <c r="B18" s="126"/>
      <c r="C18" s="373">
        <v>2</v>
      </c>
      <c r="D18" s="375" t="str">
        <f>IF(D8="","",D8)</f>
        <v>Vasco Murteira (DSRLisboa)</v>
      </c>
      <c r="E18" s="375"/>
      <c r="F18" s="23" t="str">
        <f>IF(COUNT(G18:I18)&lt;1,"",IF(SUM(IF(G18&gt;G19,1,0),IF(H18&gt;H19,1,0),IF(I18&gt;I19,1,0))&gt;2,"??",SUM(IF(G18&gt;G19,1,0),IF(H18&gt;H19,1,0),IF(I18&gt;I19,1,0))))</f>
        <v/>
      </c>
      <c r="G18" s="144"/>
      <c r="H18" s="145"/>
      <c r="I18" s="146"/>
      <c r="J18" s="373">
        <v>4</v>
      </c>
      <c r="K18" s="375" t="str">
        <f>IF(K8="","",K8)</f>
        <v>Francisco Seita (DSRLisboa)</v>
      </c>
      <c r="L18" s="375"/>
      <c r="M18" s="23" t="str">
        <f>IF(COUNT(N18:P18)&lt;1,"",IF(SUM(IF(N18&gt;N19,1,0),IF(O18&gt;O19,1,0),IF(P18&gt;P19,1,0))&gt;2,"??",SUM(IF(N18&gt;N19,1,0),IF(O18&gt;O19,1,0),IF(P18&gt;P19,1,0))))</f>
        <v/>
      </c>
      <c r="N18" s="144"/>
      <c r="O18" s="145"/>
      <c r="P18" s="146"/>
      <c r="Q18" s="373">
        <v>6</v>
      </c>
      <c r="R18" s="375" t="str">
        <f>IF(R8="","",R8)</f>
        <v>Paulo Gonçalves (DSRNorte)</v>
      </c>
      <c r="S18" s="375"/>
      <c r="T18" s="23" t="str">
        <f>IF(COUNT(U18:W18)&lt;1,"",IF(SUM(IF(U18&gt;U19,1,0),IF(V18&gt;V19,1,0),IF(W18&gt;W19,1,0))&gt;2,"??",SUM(IF(U18&gt;U19,1,0),IF(V18&gt;V19,1,0),IF(W18&gt;W19,1,0))))</f>
        <v/>
      </c>
      <c r="U18" s="144"/>
      <c r="V18" s="145"/>
      <c r="W18" s="146"/>
      <c r="X18" s="373">
        <v>8</v>
      </c>
      <c r="Y18" s="375" t="str">
        <f>IF(Y8="","",Y8)</f>
        <v>Rodrigo Ribeiro (DSRLisboa)</v>
      </c>
      <c r="Z18" s="375"/>
      <c r="AA18" s="23" t="str">
        <f>IF(COUNT(AB18:AD18)&lt;1,"",IF(SUM(IF(AB18&gt;AB19,1,0),IF(AC18&gt;AC19,1,0),IF(AD18&gt;AD19,1,0))&gt;2,"??",SUM(IF(AB18&gt;AB19,1,0),IF(AC18&gt;AC19,1,0),IF(AD18&gt;AD19,1,0))))</f>
        <v/>
      </c>
      <c r="AB18" s="144"/>
      <c r="AC18" s="145"/>
      <c r="AD18" s="146"/>
      <c r="AE18" s="396"/>
      <c r="AG18" s="131">
        <f>$C$20</f>
        <v>9</v>
      </c>
      <c r="AH18" s="162"/>
      <c r="AI18" s="131">
        <f>$H$31</f>
        <v>25</v>
      </c>
      <c r="AJ18" s="162"/>
      <c r="AK18" s="109">
        <f>$V$74</f>
        <v>39</v>
      </c>
      <c r="AL18" s="161"/>
      <c r="AN18" s="196">
        <f>IF($C26="","",$C26)</f>
        <v>18</v>
      </c>
      <c r="AO18" s="175" t="str">
        <f t="shared" si="1"/>
        <v>Grupo A</v>
      </c>
      <c r="AP18" s="358" t="str">
        <f>IF($D$27="","",$D$27)</f>
        <v>Francisco Moreira (DSRNorte)</v>
      </c>
      <c r="AQ18" s="359" t="str">
        <f t="shared" si="0"/>
        <v>Grupo A</v>
      </c>
      <c r="AR18" s="359" t="str">
        <f t="shared" si="0"/>
        <v>Grupo A</v>
      </c>
      <c r="AS18" s="360" t="str">
        <f t="shared" si="0"/>
        <v>Grupo A</v>
      </c>
      <c r="AT18" s="176" t="str">
        <f>IF(COUNT($F$26:$F$27)&lt;2,"",IF($F$26&lt;$F$27,"V",IF($F$26&gt;$F$27,"D","Empate??")))</f>
        <v/>
      </c>
      <c r="AU18" s="177" t="str">
        <f>IF(COUNT($F$26:$F$27)&lt;2,"",$F$27)</f>
        <v/>
      </c>
      <c r="AV18" s="178" t="str">
        <f>IF(COUNT($F$26:$F$27)&lt;2,"",$F$26)</f>
        <v/>
      </c>
      <c r="AW18" s="179" t="str">
        <f t="shared" si="3"/>
        <v/>
      </c>
      <c r="AX18" s="178" t="str">
        <f>IF(COUNT($F$26:$F$27)&lt;2,"",SUM($G$27:$I$27))</f>
        <v/>
      </c>
      <c r="AY18" s="180" t="str">
        <f>IF(COUNT($F$26:$F$27)&lt;2,"",SUM($G$26:$I$26))</f>
        <v/>
      </c>
      <c r="AZ18" s="181" t="str">
        <f t="shared" si="2"/>
        <v/>
      </c>
    </row>
    <row r="19" spans="2:52" ht="15" customHeight="1" thickBot="1">
      <c r="B19" s="126"/>
      <c r="C19" s="417"/>
      <c r="D19" s="416" t="str">
        <f>IF(D9="","",D9)</f>
        <v>Simão Boavista (DSRAlentejo)</v>
      </c>
      <c r="E19" s="416"/>
      <c r="F19" s="24" t="str">
        <f>IF(COUNT(G19:I19)&lt;1,"",IF(SUM(IF(G19&gt;G18,1,0),IF(H19&gt;H18,1,0),IF(I19&gt;I18,1,0))&gt;2,"??",SUM(IF(G19&gt;G18,1,0),IF(H19&gt;H18,1,0),IF(I19&gt;I18,1,0))))</f>
        <v/>
      </c>
      <c r="G19" s="147"/>
      <c r="H19" s="148"/>
      <c r="I19" s="149"/>
      <c r="J19" s="417"/>
      <c r="K19" s="416" t="str">
        <f>IF(K9="","",K9)</f>
        <v>Alexandre Tavares (DSRNorte)</v>
      </c>
      <c r="L19" s="416"/>
      <c r="M19" s="24" t="str">
        <f>IF(COUNT(N19:P19)&lt;1,"",IF(SUM(IF(N19&gt;N18,1,0),IF(O19&gt;O18,1,0),IF(P19&gt;P18,1,0))&gt;2,"??",SUM(IF(N19&gt;N18,1,0),IF(O19&gt;O18,1,0),IF(P19&gt;P18,1,0))))</f>
        <v/>
      </c>
      <c r="N19" s="147"/>
      <c r="O19" s="148"/>
      <c r="P19" s="149"/>
      <c r="Q19" s="417"/>
      <c r="R19" s="416" t="str">
        <f>IF(R9="","",R9)</f>
        <v>Rafael Riscado (DSRCentro)</v>
      </c>
      <c r="S19" s="416"/>
      <c r="T19" s="24" t="str">
        <f>IF(COUNT(U19:W19)&lt;1,"",IF(SUM(IF(U19&gt;U18,1,0),IF(V19&gt;V18,1,0),IF(W19&gt;W18,1,0))&gt;2,"??",SUM(IF(U19&gt;U18,1,0),IF(V19&gt;V18,1,0),IF(W19&gt;W18,1,0))))</f>
        <v/>
      </c>
      <c r="U19" s="147"/>
      <c r="V19" s="148"/>
      <c r="W19" s="149"/>
      <c r="X19" s="417"/>
      <c r="Y19" s="416" t="str">
        <f>IF(Y9="","",Y9)</f>
        <v>Helder Ribeiro (DSRNorte)</v>
      </c>
      <c r="Z19" s="416"/>
      <c r="AA19" s="24" t="str">
        <f>IF(COUNT(AB19:AD19)&lt;1,"",IF(SUM(IF(AB19&gt;AB18,1,0),IF(AC19&gt;AC18,1,0),IF(AD19&gt;AD18,1,0))&gt;2,"??",SUM(IF(AB19&gt;AB18,1,0),IF(AC19&gt;AC18,1,0),IF(AD19&gt;AD18,1,0))))</f>
        <v/>
      </c>
      <c r="AB19" s="147"/>
      <c r="AC19" s="148"/>
      <c r="AD19" s="149"/>
      <c r="AE19" s="427"/>
      <c r="AG19" s="109">
        <f>$C$22</f>
        <v>10</v>
      </c>
      <c r="AH19" s="161"/>
      <c r="AI19" s="109">
        <f>$H$35</f>
        <v>26</v>
      </c>
      <c r="AJ19" s="161"/>
      <c r="AK19" s="130">
        <f>$W$74</f>
        <v>40</v>
      </c>
      <c r="AL19" s="163"/>
      <c r="AN19" s="197">
        <f>IF($J16="","",$J16)</f>
        <v>3</v>
      </c>
      <c r="AO19" s="198" t="str">
        <f>IF($J$5="","",$J$5)</f>
        <v>Grupo B</v>
      </c>
      <c r="AP19" s="361" t="str">
        <f>IF($K$16="","",$K$16)</f>
        <v>Pedro Nunes (DSRCentro)</v>
      </c>
      <c r="AQ19" s="362" t="str">
        <f t="shared" si="0"/>
        <v>Grupo A</v>
      </c>
      <c r="AR19" s="362" t="str">
        <f t="shared" si="0"/>
        <v>Grupo A</v>
      </c>
      <c r="AS19" s="363" t="str">
        <f t="shared" si="0"/>
        <v>Grupo A</v>
      </c>
      <c r="AT19" s="199" t="str">
        <f>IF(COUNT($M$16:$M$17)&lt;2,"",IF($M$16&gt;$M$17,"V",IF($M$16&lt;$M$17,"D","Empate??")))</f>
        <v/>
      </c>
      <c r="AU19" s="200" t="str">
        <f>IF(COUNT($M$16:$M$17)&lt;2,"",$M$16)</f>
        <v/>
      </c>
      <c r="AV19" s="201" t="str">
        <f>IF(COUNT($M$16:$M$17)&lt;2,"",$M$17)</f>
        <v/>
      </c>
      <c r="AW19" s="202" t="str">
        <f t="shared" si="3"/>
        <v/>
      </c>
      <c r="AX19" s="201" t="str">
        <f>IF(COUNT($M$16:$M$17)&lt;2,"",SUM($N$16:$P$16))</f>
        <v/>
      </c>
      <c r="AY19" s="203" t="str">
        <f>IF(COUNT($M$16:$M$17)&lt;2,"",SUM($N$17:$P$17))</f>
        <v/>
      </c>
      <c r="AZ19" s="204" t="str">
        <f t="shared" si="2"/>
        <v/>
      </c>
    </row>
    <row r="20" spans="2:52" ht="15" customHeight="1" thickTop="1" thickBot="1">
      <c r="B20" s="126"/>
      <c r="C20" s="413">
        <v>9</v>
      </c>
      <c r="D20" s="415" t="str">
        <f>IF(D10="","",D10)</f>
        <v/>
      </c>
      <c r="E20" s="415"/>
      <c r="F20" s="25" t="str">
        <f>IF(COUNT(G20:I20)&lt;1,"",IF(SUM(IF(G20&gt;G21,1,0),IF(H20&gt;H21,1,0),IF(I20&gt;I21,1,0))&gt;2,"??",SUM(IF(G20&gt;G21,1,0),IF(H20&gt;H21,1,0),IF(I20&gt;I21,1,0))))</f>
        <v/>
      </c>
      <c r="G20" s="150"/>
      <c r="H20" s="151"/>
      <c r="I20" s="152"/>
      <c r="J20" s="413">
        <v>11</v>
      </c>
      <c r="K20" s="415" t="str">
        <f>IF(K10="","",K10)</f>
        <v/>
      </c>
      <c r="L20" s="415"/>
      <c r="M20" s="25" t="str">
        <f>IF(COUNT(N20:P20)&lt;1,"",IF(SUM(IF(N20&gt;N21,1,0),IF(O20&gt;O21,1,0),IF(P20&gt;P21,1,0))&gt;2,"??",SUM(IF(N20&gt;N21,1,0),IF(O20&gt;O21,1,0),IF(P20&gt;P21,1,0))))</f>
        <v/>
      </c>
      <c r="N20" s="150"/>
      <c r="O20" s="151"/>
      <c r="P20" s="152"/>
      <c r="Q20" s="413">
        <v>13</v>
      </c>
      <c r="R20" s="415" t="str">
        <f>IF(R10="","",R10)</f>
        <v/>
      </c>
      <c r="S20" s="415"/>
      <c r="T20" s="25" t="str">
        <f>IF(COUNT(U20:W20)&lt;1,"",IF(SUM(IF(U20&gt;U21,1,0),IF(V20&gt;V21,1,0),IF(W20&gt;W21,1,0))&gt;2,"??",SUM(IF(U20&gt;U21,1,0),IF(V20&gt;V21,1,0),IF(W20&gt;W21,1,0))))</f>
        <v/>
      </c>
      <c r="U20" s="150"/>
      <c r="V20" s="151"/>
      <c r="W20" s="152"/>
      <c r="X20" s="413">
        <v>15</v>
      </c>
      <c r="Y20" s="415" t="str">
        <f>IF(Y10="","",Y10)</f>
        <v/>
      </c>
      <c r="Z20" s="415"/>
      <c r="AA20" s="25" t="str">
        <f>IF(COUNT(AB20:AD20)&lt;1,"",IF(SUM(IF(AB20&gt;AB21,1,0),IF(AC20&gt;AC21,1,0),IF(AD20&gt;AD21,1,0))&gt;2,"??",SUM(IF(AB20&gt;AB21,1,0),IF(AC20&gt;AC21,1,0),IF(AD20&gt;AD21,1,0))))</f>
        <v/>
      </c>
      <c r="AB20" s="150"/>
      <c r="AC20" s="151"/>
      <c r="AD20" s="152"/>
      <c r="AE20" s="418" t="s">
        <v>45</v>
      </c>
      <c r="AG20" s="109">
        <f>$J$20</f>
        <v>11</v>
      </c>
      <c r="AH20" s="161"/>
      <c r="AI20" s="109">
        <f>$H$39</f>
        <v>27</v>
      </c>
      <c r="AJ20" s="161"/>
      <c r="AK20" s="421" t="s">
        <v>236</v>
      </c>
      <c r="AL20" s="422"/>
      <c r="AN20" s="205">
        <f>IF($J16="","",$J16)</f>
        <v>3</v>
      </c>
      <c r="AO20" s="206" t="str">
        <f t="shared" ref="AO20:AO30" si="4">IF($J$5="","",$J$5)</f>
        <v>Grupo B</v>
      </c>
      <c r="AP20" s="346" t="str">
        <f>IF($K$17="","",$K$17)</f>
        <v/>
      </c>
      <c r="AQ20" s="347" t="str">
        <f t="shared" si="0"/>
        <v>Grupo A</v>
      </c>
      <c r="AR20" s="347" t="str">
        <f t="shared" si="0"/>
        <v>Grupo A</v>
      </c>
      <c r="AS20" s="348" t="str">
        <f t="shared" si="0"/>
        <v>Grupo A</v>
      </c>
      <c r="AT20" s="207" t="str">
        <f>IF(COUNT($M$16:$M$17)&lt;2,"",IF($M$16&lt;$M$17,"V",IF($M$16&gt;$M$17,"D","Empate??")))</f>
        <v/>
      </c>
      <c r="AU20" s="208" t="str">
        <f>IF(COUNT($M$16:$M$17)&lt;2,"",$M$17)</f>
        <v/>
      </c>
      <c r="AV20" s="209" t="str">
        <f>IF(COUNT($M$16:$M$17)&lt;2,"",$M$16)</f>
        <v/>
      </c>
      <c r="AW20" s="210" t="str">
        <f t="shared" si="3"/>
        <v/>
      </c>
      <c r="AX20" s="209" t="str">
        <f>IF(COUNT($M$16:$M$17)&lt;2,"",SUM($N$17:$P$17))</f>
        <v/>
      </c>
      <c r="AY20" s="211" t="str">
        <f>IF(COUNT($M$16:$M$17)&lt;2,"",SUM($N$16:$P$16))</f>
        <v/>
      </c>
      <c r="AZ20" s="212" t="str">
        <f t="shared" si="2"/>
        <v/>
      </c>
    </row>
    <row r="21" spans="2:52" ht="15" customHeight="1">
      <c r="B21" s="126"/>
      <c r="C21" s="414"/>
      <c r="D21" s="409" t="str">
        <f>IF(D9="","",D9)</f>
        <v>Simão Boavista (DSRAlentejo)</v>
      </c>
      <c r="E21" s="409"/>
      <c r="F21" s="26" t="str">
        <f>IF(COUNT(G21:I21)&lt;1,"",IF(SUM(IF(G21&gt;G20,1,0),IF(H21&gt;H20,1,0),IF(I21&gt;I20,1,0))&gt;2,"??",SUM(IF(G21&gt;G20,1,0),IF(H21&gt;H20,1,0),IF(I21&gt;I20,1,0))))</f>
        <v/>
      </c>
      <c r="G21" s="141"/>
      <c r="H21" s="142"/>
      <c r="I21" s="143"/>
      <c r="J21" s="414"/>
      <c r="K21" s="409" t="str">
        <f>IF(K9="","",K9)</f>
        <v>Alexandre Tavares (DSRNorte)</v>
      </c>
      <c r="L21" s="409"/>
      <c r="M21" s="26" t="str">
        <f>IF(COUNT(N21:P21)&lt;1,"",IF(SUM(IF(N21&gt;N20,1,0),IF(O21&gt;O20,1,0),IF(P21&gt;P20,1,0))&gt;2,"??",SUM(IF(N21&gt;N20,1,0),IF(O21&gt;O20,1,0),IF(P21&gt;P20,1,0))))</f>
        <v/>
      </c>
      <c r="N21" s="141"/>
      <c r="O21" s="142"/>
      <c r="P21" s="143"/>
      <c r="Q21" s="414"/>
      <c r="R21" s="409" t="str">
        <f>IF(R9="","",R9)</f>
        <v>Rafael Riscado (DSRCentro)</v>
      </c>
      <c r="S21" s="409"/>
      <c r="T21" s="26" t="str">
        <f>IF(COUNT(U21:W21)&lt;1,"",IF(SUM(IF(U21&gt;U20,1,0),IF(V21&gt;V20,1,0),IF(W21&gt;W20,1,0))&gt;2,"??",SUM(IF(U21&gt;U20,1,0),IF(V21&gt;V20,1,0),IF(W21&gt;W20,1,0))))</f>
        <v/>
      </c>
      <c r="U21" s="141"/>
      <c r="V21" s="142"/>
      <c r="W21" s="143"/>
      <c r="X21" s="414"/>
      <c r="Y21" s="409" t="str">
        <f>IF(Y9="","",Y9)</f>
        <v>Helder Ribeiro (DSRNorte)</v>
      </c>
      <c r="Z21" s="409"/>
      <c r="AA21" s="26" t="str">
        <f>IF(COUNT(AB21:AD21)&lt;1,"",IF(SUM(IF(AB21&gt;AB20,1,0),IF(AC21&gt;AC20,1,0),IF(AD21&gt;AD20,1,0))&gt;2,"??",SUM(IF(AB21&gt;AB20,1,0),IF(AC21&gt;AC20,1,0),IF(AD21&gt;AD20,1,0))))</f>
        <v/>
      </c>
      <c r="AB21" s="141"/>
      <c r="AC21" s="142"/>
      <c r="AD21" s="143"/>
      <c r="AE21" s="419"/>
      <c r="AG21" s="109">
        <f>$J$22</f>
        <v>12</v>
      </c>
      <c r="AH21" s="161"/>
      <c r="AI21" s="109">
        <f>$H$43</f>
        <v>28</v>
      </c>
      <c r="AJ21" s="161"/>
      <c r="AK21" s="159">
        <f>$O$88</f>
        <v>41</v>
      </c>
      <c r="AL21" s="160"/>
      <c r="AN21" s="213">
        <f>IF($J18="","",$J18)</f>
        <v>4</v>
      </c>
      <c r="AO21" s="214" t="str">
        <f t="shared" si="4"/>
        <v>Grupo B</v>
      </c>
      <c r="AP21" s="349" t="str">
        <f>IF($K$18="","",$K$18)</f>
        <v>Francisco Seita (DSRLisboa)</v>
      </c>
      <c r="AQ21" s="350" t="str">
        <f t="shared" si="0"/>
        <v>Grupo A</v>
      </c>
      <c r="AR21" s="350" t="str">
        <f t="shared" si="0"/>
        <v>Grupo A</v>
      </c>
      <c r="AS21" s="351" t="str">
        <f t="shared" si="0"/>
        <v>Grupo A</v>
      </c>
      <c r="AT21" s="215" t="str">
        <f>IF(COUNT($M$18:$M$19)&lt;2,"",IF($M$18&gt;$M$19,"V",IF($M$18&lt;$M$19,"D","Empate??")))</f>
        <v/>
      </c>
      <c r="AU21" s="216" t="str">
        <f>IF(COUNT($M$18:$M$19)&lt;2,"",$M$18)</f>
        <v/>
      </c>
      <c r="AV21" s="217" t="str">
        <f>IF(COUNT($M$18:$M$19)&lt;2,"",$M$19)</f>
        <v/>
      </c>
      <c r="AW21" s="218" t="str">
        <f t="shared" si="3"/>
        <v/>
      </c>
      <c r="AX21" s="217" t="str">
        <f>IF(COUNT($M$18:$M$19)&lt;2,"",SUM($N$18:$P$18))</f>
        <v/>
      </c>
      <c r="AY21" s="219" t="str">
        <f>IF(COUNT($M$18:$M$19)&lt;2,"",SUM($N$19:$P$19))</f>
        <v/>
      </c>
      <c r="AZ21" s="220" t="str">
        <f t="shared" si="2"/>
        <v/>
      </c>
    </row>
    <row r="22" spans="2:52" ht="15" customHeight="1">
      <c r="B22" s="126"/>
      <c r="C22" s="410">
        <v>10</v>
      </c>
      <c r="D22" s="391" t="str">
        <f>IF(D7="","",D7)</f>
        <v>Francisco Moreira (DSRNorte)</v>
      </c>
      <c r="E22" s="391"/>
      <c r="F22" s="27" t="str">
        <f>IF(COUNT(G22:I22)&lt;1,"",IF(SUM(IF(G22&gt;G23,1,0),IF(H22&gt;H23,1,0),IF(I22&gt;I23,1,0))&gt;2,"??",SUM(IF(G22&gt;G23,1,0),IF(H22&gt;H23,1,0),IF(I22&gt;I23,1,0))))</f>
        <v/>
      </c>
      <c r="G22" s="144"/>
      <c r="H22" s="145"/>
      <c r="I22" s="146"/>
      <c r="J22" s="410">
        <v>12</v>
      </c>
      <c r="K22" s="391" t="str">
        <f>IF(K7="","",K7)</f>
        <v>Pedro Nunes (DSRCentro)</v>
      </c>
      <c r="L22" s="391"/>
      <c r="M22" s="27" t="str">
        <f>IF(COUNT(N22:P22)&lt;1,"",IF(SUM(IF(N22&gt;N23,1,0),IF(O22&gt;O23,1,0),IF(P22&gt;P23,1,0))&gt;2,"??",SUM(IF(N22&gt;N23,1,0),IF(O22&gt;O23,1,0),IF(P22&gt;P23,1,0))))</f>
        <v/>
      </c>
      <c r="N22" s="144"/>
      <c r="O22" s="145"/>
      <c r="P22" s="146"/>
      <c r="Q22" s="410">
        <v>14</v>
      </c>
      <c r="R22" s="391" t="str">
        <f>IF(R7="","",R7)</f>
        <v>Gonçalo Gomes (DSRLisboa)</v>
      </c>
      <c r="S22" s="391"/>
      <c r="T22" s="27" t="str">
        <f>IF(COUNT(U22:W22)&lt;1,"",IF(SUM(IF(U22&gt;U23,1,0),IF(V22&gt;V23,1,0),IF(W22&gt;W23,1,0))&gt;2,"??",SUM(IF(U22&gt;U23,1,0),IF(V22&gt;V23,1,0),IF(W22&gt;W23,1,0))))</f>
        <v/>
      </c>
      <c r="U22" s="144"/>
      <c r="V22" s="145"/>
      <c r="W22" s="146"/>
      <c r="X22" s="410">
        <v>16</v>
      </c>
      <c r="Y22" s="391" t="str">
        <f>IF(Y7="","",Y7)</f>
        <v>David Duarte (DSRAlgarve)</v>
      </c>
      <c r="Z22" s="391"/>
      <c r="AA22" s="27" t="str">
        <f>IF(COUNT(AB22:AD22)&lt;1,"",IF(SUM(IF(AB22&gt;AB23,1,0),IF(AC22&gt;AC23,1,0),IF(AD22&gt;AD23,1,0))&gt;2,"??",SUM(IF(AB22&gt;AB23,1,0),IF(AC22&gt;AC23,1,0),IF(AD22&gt;AD23,1,0))))</f>
        <v/>
      </c>
      <c r="AB22" s="144"/>
      <c r="AC22" s="145"/>
      <c r="AD22" s="146"/>
      <c r="AE22" s="419"/>
      <c r="AG22" s="109">
        <f>$Q$20</f>
        <v>13</v>
      </c>
      <c r="AH22" s="161"/>
      <c r="AI22" s="109">
        <f>$O$33</f>
        <v>29</v>
      </c>
      <c r="AJ22" s="161"/>
      <c r="AK22" s="109">
        <f>$O$96</f>
        <v>42</v>
      </c>
      <c r="AL22" s="161"/>
      <c r="AN22" s="205">
        <f>IF($J18="","",$J18)</f>
        <v>4</v>
      </c>
      <c r="AO22" s="206" t="str">
        <f t="shared" si="4"/>
        <v>Grupo B</v>
      </c>
      <c r="AP22" s="346" t="str">
        <f>IF($K$19="","",$K$19)</f>
        <v>Alexandre Tavares (DSRNorte)</v>
      </c>
      <c r="AQ22" s="347" t="str">
        <f t="shared" si="0"/>
        <v>Grupo A</v>
      </c>
      <c r="AR22" s="347" t="str">
        <f t="shared" si="0"/>
        <v>Grupo A</v>
      </c>
      <c r="AS22" s="348" t="str">
        <f t="shared" si="0"/>
        <v>Grupo A</v>
      </c>
      <c r="AT22" s="207" t="str">
        <f>IF(COUNT($M$18:$M$19)&lt;2,"",IF($M$18&lt;$M$19,"V",IF($M$18&gt;$M$19,"D","Empate??")))</f>
        <v/>
      </c>
      <c r="AU22" s="208" t="str">
        <f>IF(COUNT($M$18:$M$19)&lt;2,"",$M$19)</f>
        <v/>
      </c>
      <c r="AV22" s="209" t="str">
        <f>IF(COUNT($M$18:$M$19)&lt;2,"",$M$18)</f>
        <v/>
      </c>
      <c r="AW22" s="210" t="str">
        <f t="shared" si="3"/>
        <v/>
      </c>
      <c r="AX22" s="209" t="str">
        <f>IF(COUNT($M$18:$M$19)&lt;2,"",SUM($N$19:$P$19))</f>
        <v/>
      </c>
      <c r="AY22" s="211" t="str">
        <f>IF(COUNT($M$18:$M$19)&lt;2,"",SUM($N$18:$P$18))</f>
        <v/>
      </c>
      <c r="AZ22" s="212" t="str">
        <f t="shared" si="2"/>
        <v/>
      </c>
    </row>
    <row r="23" spans="2:52" ht="15" customHeight="1" thickBot="1">
      <c r="B23" s="126"/>
      <c r="C23" s="411"/>
      <c r="D23" s="412" t="str">
        <f>IF(D8="","",D8)</f>
        <v>Vasco Murteira (DSRLisboa)</v>
      </c>
      <c r="E23" s="412"/>
      <c r="F23" s="28" t="str">
        <f>IF(COUNT(G23:I23)&lt;1,"",IF(SUM(IF(G23&gt;G22,1,0),IF(H23&gt;H22,1,0),IF(I23&gt;I22,1,0))&gt;2,"??",SUM(IF(G23&gt;G22,1,0),IF(H23&gt;H22,1,0),IF(I23&gt;I22,1,0))))</f>
        <v/>
      </c>
      <c r="G23" s="153"/>
      <c r="H23" s="154"/>
      <c r="I23" s="155"/>
      <c r="J23" s="411"/>
      <c r="K23" s="412" t="str">
        <f>IF(K8="","",K8)</f>
        <v>Francisco Seita (DSRLisboa)</v>
      </c>
      <c r="L23" s="412"/>
      <c r="M23" s="28" t="str">
        <f>IF(COUNT(N23:P23)&lt;1,"",IF(SUM(IF(N23&gt;N22,1,0),IF(O23&gt;O22,1,0),IF(P23&gt;P22,1,0))&gt;2,"??",SUM(IF(N23&gt;N22,1,0),IF(O23&gt;O22,1,0),IF(P23&gt;P22,1,0))))</f>
        <v/>
      </c>
      <c r="N23" s="153"/>
      <c r="O23" s="154"/>
      <c r="P23" s="155"/>
      <c r="Q23" s="411"/>
      <c r="R23" s="412" t="str">
        <f>IF(R8="","",R8)</f>
        <v>Paulo Gonçalves (DSRNorte)</v>
      </c>
      <c r="S23" s="412"/>
      <c r="T23" s="28" t="str">
        <f>IF(COUNT(U23:W23)&lt;1,"",IF(SUM(IF(U23&gt;U22,1,0),IF(V23&gt;V22,1,0),IF(W23&gt;W22,1,0))&gt;2,"??",SUM(IF(U23&gt;U22,1,0),IF(V23&gt;V22,1,0),IF(W23&gt;W22,1,0))))</f>
        <v/>
      </c>
      <c r="U23" s="153"/>
      <c r="V23" s="154"/>
      <c r="W23" s="155"/>
      <c r="X23" s="411"/>
      <c r="Y23" s="412" t="str">
        <f>IF(Y8="","",Y8)</f>
        <v>Rodrigo Ribeiro (DSRLisboa)</v>
      </c>
      <c r="Z23" s="412"/>
      <c r="AA23" s="28" t="str">
        <f>IF(COUNT(AB23:AD23)&lt;1,"",IF(SUM(IF(AB23&gt;AB22,1,0),IF(AC23&gt;AC22,1,0),IF(AD23&gt;AD22,1,0))&gt;2,"??",SUM(IF(AB23&gt;AB22,1,0),IF(AC23&gt;AC22,1,0),IF(AD23&gt;AD22,1,0))))</f>
        <v/>
      </c>
      <c r="AB23" s="153"/>
      <c r="AC23" s="154"/>
      <c r="AD23" s="155"/>
      <c r="AE23" s="420"/>
      <c r="AG23" s="109">
        <f>$Q$22</f>
        <v>14</v>
      </c>
      <c r="AH23" s="161"/>
      <c r="AI23" s="109">
        <f>$O$41</f>
        <v>30</v>
      </c>
      <c r="AJ23" s="161"/>
      <c r="AK23" s="109">
        <f>$V$92</f>
        <v>43</v>
      </c>
      <c r="AL23" s="161"/>
      <c r="AN23" s="221">
        <f>IF($J20="","",$J20)</f>
        <v>11</v>
      </c>
      <c r="AO23" s="222" t="str">
        <f t="shared" si="4"/>
        <v>Grupo B</v>
      </c>
      <c r="AP23" s="349" t="str">
        <f>IF($K$20="","",$K$20)</f>
        <v/>
      </c>
      <c r="AQ23" s="350" t="str">
        <f t="shared" ref="AQ23:AS38" si="5">IF($C$5="","",$C$5)</f>
        <v>Grupo A</v>
      </c>
      <c r="AR23" s="350" t="str">
        <f t="shared" si="5"/>
        <v>Grupo A</v>
      </c>
      <c r="AS23" s="351" t="str">
        <f t="shared" si="5"/>
        <v>Grupo A</v>
      </c>
      <c r="AT23" s="223" t="str">
        <f>IF(COUNT($M$20:$M$21)&lt;2,"",IF($M$20&gt;$M$21,"V",IF($M$20&lt;$M$21,"D","Empate??")))</f>
        <v/>
      </c>
      <c r="AU23" s="224" t="str">
        <f>IF(COUNT($M$20:$M$21)&lt;2,"",$M$20)</f>
        <v/>
      </c>
      <c r="AV23" s="225" t="str">
        <f>IF(COUNT($M$20:$M$21)&lt;2,"",$M$21)</f>
        <v/>
      </c>
      <c r="AW23" s="226" t="str">
        <f t="shared" si="3"/>
        <v/>
      </c>
      <c r="AX23" s="225" t="str">
        <f>IF(COUNT($M$20:$M$21)&lt;2,"",SUM($N$20:$P$20))</f>
        <v/>
      </c>
      <c r="AY23" s="227" t="str">
        <f>IF(COUNT($M$20:$M$21)&lt;2,"",SUM($N$21:$P$21))</f>
        <v/>
      </c>
      <c r="AZ23" s="228" t="str">
        <f t="shared" si="2"/>
        <v/>
      </c>
    </row>
    <row r="24" spans="2:52" ht="15" customHeight="1" thickTop="1" thickBot="1">
      <c r="B24" s="126"/>
      <c r="C24" s="392">
        <v>17</v>
      </c>
      <c r="D24" s="394" t="str">
        <f>IF(D8="","",D8)</f>
        <v>Vasco Murteira (DSRLisboa)</v>
      </c>
      <c r="E24" s="394"/>
      <c r="F24" s="22" t="str">
        <f>IF(COUNT(G24:I24)&lt;1,"",IF(SUM(IF(G24&gt;G25,1,0),IF(H24&gt;H25,1,0),IF(I24&gt;I25,1,0))&gt;2,"??",SUM(IF(G24&gt;G25,1,0),IF(H24&gt;H25,1,0),IF(I24&gt;I25,1,0))))</f>
        <v/>
      </c>
      <c r="G24" s="141"/>
      <c r="H24" s="142"/>
      <c r="I24" s="143"/>
      <c r="J24" s="392">
        <v>19</v>
      </c>
      <c r="K24" s="394" t="str">
        <f>IF(K8="","",K8)</f>
        <v>Francisco Seita (DSRLisboa)</v>
      </c>
      <c r="L24" s="394"/>
      <c r="M24" s="22" t="str">
        <f>IF(COUNT(N24:P24)&lt;1,"",IF(SUM(IF(N24&gt;N25,1,0),IF(O24&gt;O25,1,0),IF(P24&gt;P25,1,0))&gt;2,"??",SUM(IF(N24&gt;N25,1,0),IF(O24&gt;O25,1,0),IF(P24&gt;P25,1,0))))</f>
        <v/>
      </c>
      <c r="N24" s="141"/>
      <c r="O24" s="142"/>
      <c r="P24" s="143"/>
      <c r="Q24" s="392">
        <v>21</v>
      </c>
      <c r="R24" s="394" t="str">
        <f>IF(R8="","",R8)</f>
        <v>Paulo Gonçalves (DSRNorte)</v>
      </c>
      <c r="S24" s="394"/>
      <c r="T24" s="22" t="str">
        <f>IF(COUNT(U24:W24)&lt;1,"",IF(SUM(IF(U24&gt;U25,1,0),IF(V24&gt;V25,1,0),IF(W24&gt;W25,1,0))&gt;2,"??",SUM(IF(U24&gt;U25,1,0),IF(V24&gt;V25,1,0),IF(W24&gt;W25,1,0))))</f>
        <v/>
      </c>
      <c r="U24" s="141"/>
      <c r="V24" s="142"/>
      <c r="W24" s="143"/>
      <c r="X24" s="392">
        <v>23</v>
      </c>
      <c r="Y24" s="394" t="str">
        <f>IF(Y8="","",Y8)</f>
        <v>Rodrigo Ribeiro (DSRLisboa)</v>
      </c>
      <c r="Z24" s="394"/>
      <c r="AA24" s="22" t="str">
        <f>IF(COUNT(AB24:AD24)&lt;1,"",IF(SUM(IF(AB24&gt;AB25,1,0),IF(AC24&gt;AC25,1,0),IF(AD24&gt;AD25,1,0))&gt;2,"??",SUM(IF(AB24&gt;AB25,1,0),IF(AC24&gt;AC25,1,0),IF(AD24&gt;AD25,1,0))))</f>
        <v/>
      </c>
      <c r="AB24" s="141"/>
      <c r="AC24" s="142"/>
      <c r="AD24" s="143"/>
      <c r="AE24" s="395" t="s">
        <v>46</v>
      </c>
      <c r="AG24" s="109">
        <f>$X$20</f>
        <v>15</v>
      </c>
      <c r="AH24" s="161"/>
      <c r="AI24" s="109">
        <f>$V$37</f>
        <v>31</v>
      </c>
      <c r="AJ24" s="161"/>
      <c r="AK24" s="130">
        <f>$W$92</f>
        <v>44</v>
      </c>
      <c r="AL24" s="163"/>
      <c r="AN24" s="205">
        <f>IF($J20="","",$J20)</f>
        <v>11</v>
      </c>
      <c r="AO24" s="206" t="str">
        <f t="shared" si="4"/>
        <v>Grupo B</v>
      </c>
      <c r="AP24" s="346" t="str">
        <f>IF($K$21="","",$K$21)</f>
        <v>Alexandre Tavares (DSRNorte)</v>
      </c>
      <c r="AQ24" s="347" t="str">
        <f t="shared" si="5"/>
        <v>Grupo A</v>
      </c>
      <c r="AR24" s="347" t="str">
        <f t="shared" si="5"/>
        <v>Grupo A</v>
      </c>
      <c r="AS24" s="348" t="str">
        <f t="shared" si="5"/>
        <v>Grupo A</v>
      </c>
      <c r="AT24" s="207" t="str">
        <f>IF(COUNT($M$20:$M$21)&lt;2,"",IF($M$20&lt;$M$21,"V",IF($M$20&gt;$M$21,"D","Empate??")))</f>
        <v/>
      </c>
      <c r="AU24" s="208" t="str">
        <f>IF(COUNT($M$20:$M$21)&lt;2,"",$M$21)</f>
        <v/>
      </c>
      <c r="AV24" s="209" t="str">
        <f>IF(COUNT($M$20:$M$21)&lt;2,"",$M$20)</f>
        <v/>
      </c>
      <c r="AW24" s="210" t="str">
        <f t="shared" si="3"/>
        <v/>
      </c>
      <c r="AX24" s="209" t="str">
        <f>IF(COUNT($M$20:$M$21)&lt;2,"",SUM($N$21:$P$21))</f>
        <v/>
      </c>
      <c r="AY24" s="211" t="str">
        <f>IF(COUNT($M$20:$M$21)&lt;2,"",SUM($N$20:$P$20))</f>
        <v/>
      </c>
      <c r="AZ24" s="212" t="str">
        <f t="shared" si="2"/>
        <v/>
      </c>
    </row>
    <row r="25" spans="2:52" ht="15" customHeight="1" thickBot="1">
      <c r="B25" s="126"/>
      <c r="C25" s="393"/>
      <c r="D25" s="398" t="str">
        <f>IF(D10="","",D10)</f>
        <v/>
      </c>
      <c r="E25" s="398"/>
      <c r="F25" s="22" t="str">
        <f>IF(COUNT(G25:I25)&lt;1,"",IF(SUM(IF(G25&gt;G24,1,0),IF(H25&gt;H24,1,0),IF(I25&gt;I24,1,0))&gt;2,"??",SUM(IF(G25&gt;G24,1,0),IF(H25&gt;H24,1,0),IF(I25&gt;I24,1,0))))</f>
        <v/>
      </c>
      <c r="G25" s="141"/>
      <c r="H25" s="142"/>
      <c r="I25" s="143"/>
      <c r="J25" s="393"/>
      <c r="K25" s="398" t="str">
        <f>IF(K10="","",K10)</f>
        <v/>
      </c>
      <c r="L25" s="398"/>
      <c r="M25" s="22" t="str">
        <f>IF(COUNT(N25:P25)&lt;1,"",IF(SUM(IF(N25&gt;N24,1,0),IF(O25&gt;O24,1,0),IF(P25&gt;P24,1,0))&gt;2,"??",SUM(IF(N25&gt;N24,1,0),IF(O25&gt;O24,1,0),IF(P25&gt;P24,1,0))))</f>
        <v/>
      </c>
      <c r="N25" s="141"/>
      <c r="O25" s="142"/>
      <c r="P25" s="143"/>
      <c r="Q25" s="393"/>
      <c r="R25" s="398" t="str">
        <f>IF(R10="","",R10)</f>
        <v/>
      </c>
      <c r="S25" s="398"/>
      <c r="T25" s="22" t="str">
        <f>IF(COUNT(U25:W25)&lt;1,"",IF(SUM(IF(U25&gt;U24,1,0),IF(V25&gt;V24,1,0),IF(W25&gt;W24,1,0))&gt;2,"??",SUM(IF(U25&gt;U24,1,0),IF(V25&gt;V24,1,0),IF(W25&gt;W24,1,0))))</f>
        <v/>
      </c>
      <c r="U25" s="141"/>
      <c r="V25" s="142"/>
      <c r="W25" s="143"/>
      <c r="X25" s="393"/>
      <c r="Y25" s="398" t="str">
        <f>IF(Y10="","",Y10)</f>
        <v/>
      </c>
      <c r="Z25" s="398"/>
      <c r="AA25" s="22" t="str">
        <f>IF(COUNT(AB25:AD25)&lt;1,"",IF(SUM(IF(AB25&gt;AB24,1,0),IF(AC25&gt;AC24,1,0),IF(AD25&gt;AD24,1,0))&gt;2,"??",SUM(IF(AB25&gt;AB24,1,0),IF(AC25&gt;AC24,1,0),IF(AD25&gt;AD24,1,0))))</f>
        <v/>
      </c>
      <c r="AB25" s="141"/>
      <c r="AC25" s="142"/>
      <c r="AD25" s="143"/>
      <c r="AE25" s="396"/>
      <c r="AG25" s="130">
        <f>$X$22</f>
        <v>16</v>
      </c>
      <c r="AH25" s="163"/>
      <c r="AI25" s="130">
        <f>$W$37</f>
        <v>32</v>
      </c>
      <c r="AJ25" s="163"/>
      <c r="AK25" s="159"/>
      <c r="AL25" s="293"/>
      <c r="AN25" s="221">
        <f>IF($J22="","",$J22)</f>
        <v>12</v>
      </c>
      <c r="AO25" s="222" t="str">
        <f t="shared" si="4"/>
        <v>Grupo B</v>
      </c>
      <c r="AP25" s="349" t="str">
        <f>IF($K$22="","",$K$22)</f>
        <v>Pedro Nunes (DSRCentro)</v>
      </c>
      <c r="AQ25" s="350" t="str">
        <f t="shared" si="5"/>
        <v>Grupo A</v>
      </c>
      <c r="AR25" s="350" t="str">
        <f t="shared" si="5"/>
        <v>Grupo A</v>
      </c>
      <c r="AS25" s="351" t="str">
        <f t="shared" si="5"/>
        <v>Grupo A</v>
      </c>
      <c r="AT25" s="223" t="str">
        <f>IF(COUNT($M$22:$M$23)&lt;2,"",IF($M$22&gt;$M$23,"V",IF($M$22&lt;$M$23,"D","Empate??")))</f>
        <v/>
      </c>
      <c r="AU25" s="224" t="str">
        <f>IF(COUNT($M$22:$M$23)&lt;2,"",$M$22)</f>
        <v/>
      </c>
      <c r="AV25" s="225" t="str">
        <f>IF(COUNT($M$22:$M$23)&lt;2,"",$M$23)</f>
        <v/>
      </c>
      <c r="AW25" s="226" t="str">
        <f t="shared" si="3"/>
        <v/>
      </c>
      <c r="AX25" s="225" t="str">
        <f>IF(COUNT($M$22:$M$23)&lt;2,"",SUM($N$22:$P$22))</f>
        <v/>
      </c>
      <c r="AY25" s="227" t="str">
        <f>IF(COUNT($M$22:$M$23)&lt;2,"",SUM($N$23:$P$23))</f>
        <v/>
      </c>
      <c r="AZ25" s="228" t="str">
        <f t="shared" si="2"/>
        <v/>
      </c>
    </row>
    <row r="26" spans="2:52" ht="15" customHeight="1" thickBot="1">
      <c r="B26" s="126"/>
      <c r="C26" s="373">
        <v>18</v>
      </c>
      <c r="D26" s="375" t="str">
        <f>IF(D9="","",D9)</f>
        <v>Simão Boavista (DSRAlentejo)</v>
      </c>
      <c r="E26" s="375"/>
      <c r="F26" s="23" t="str">
        <f>IF(COUNT(G26:I26)&lt;1,"",IF(SUM(IF(G26&gt;G27,1,0),IF(H26&gt;H27,1,0),IF(I26&gt;I27,1,0))&gt;2,"??",SUM(IF(G26&gt;G27,1,0),IF(H26&gt;H27,1,0),IF(I26&gt;I27,1,0))))</f>
        <v/>
      </c>
      <c r="G26" s="144"/>
      <c r="H26" s="145"/>
      <c r="I26" s="146"/>
      <c r="J26" s="373">
        <v>20</v>
      </c>
      <c r="K26" s="375" t="str">
        <f>IF(K9="","",K9)</f>
        <v>Alexandre Tavares (DSRNorte)</v>
      </c>
      <c r="L26" s="375"/>
      <c r="M26" s="23" t="str">
        <f>IF(COUNT(N26:P26)&lt;1,"",IF(SUM(IF(N26&gt;N27,1,0),IF(O26&gt;O27,1,0),IF(P26&gt;P27,1,0))&gt;2,"??",SUM(IF(N26&gt;N27,1,0),IF(O26&gt;O27,1,0),IF(P26&gt;P27,1,0))))</f>
        <v/>
      </c>
      <c r="N26" s="144"/>
      <c r="O26" s="145"/>
      <c r="P26" s="146"/>
      <c r="Q26" s="373">
        <v>22</v>
      </c>
      <c r="R26" s="375" t="str">
        <f>IF(R9="","",R9)</f>
        <v>Rafael Riscado (DSRCentro)</v>
      </c>
      <c r="S26" s="375"/>
      <c r="T26" s="23" t="str">
        <f>IF(COUNT(U26:W26)&lt;1,"",IF(SUM(IF(U26&gt;U27,1,0),IF(V26&gt;V27,1,0),IF(W26&gt;W27,1,0))&gt;2,"??",SUM(IF(U26&gt;U27,1,0),IF(V26&gt;V27,1,0),IF(W26&gt;W27,1,0))))</f>
        <v/>
      </c>
      <c r="U26" s="144"/>
      <c r="V26" s="145"/>
      <c r="W26" s="146"/>
      <c r="X26" s="373">
        <v>24</v>
      </c>
      <c r="Y26" s="375" t="str">
        <f>IF(Y9="","",Y9)</f>
        <v>Helder Ribeiro (DSRNorte)</v>
      </c>
      <c r="Z26" s="375"/>
      <c r="AA26" s="23" t="str">
        <f>IF(COUNT(AB26:AD26)&lt;1,"",IF(SUM(IF(AB26&gt;AB27,1,0),IF(AC26&gt;AC27,1,0),IF(AD26&gt;AD27,1,0))&gt;2,"??",SUM(IF(AB26&gt;AB27,1,0),IF(AC26&gt;AC27,1,0),IF(AD26&gt;AD27,1,0))))</f>
        <v/>
      </c>
      <c r="AB26" s="144"/>
      <c r="AC26" s="145"/>
      <c r="AD26" s="146"/>
      <c r="AE26" s="396"/>
      <c r="AG26" s="399" t="s">
        <v>237</v>
      </c>
      <c r="AH26" s="399"/>
      <c r="AI26" s="399" t="s">
        <v>238</v>
      </c>
      <c r="AJ26" s="399"/>
      <c r="AN26" s="205">
        <f>IF($J22="","",$J22)</f>
        <v>12</v>
      </c>
      <c r="AO26" s="206" t="str">
        <f t="shared" si="4"/>
        <v>Grupo B</v>
      </c>
      <c r="AP26" s="346" t="str">
        <f>IF($K$23="","",$K$23)</f>
        <v>Francisco Seita (DSRLisboa)</v>
      </c>
      <c r="AQ26" s="347" t="str">
        <f t="shared" si="5"/>
        <v>Grupo A</v>
      </c>
      <c r="AR26" s="347" t="str">
        <f t="shared" si="5"/>
        <v>Grupo A</v>
      </c>
      <c r="AS26" s="348" t="str">
        <f t="shared" si="5"/>
        <v>Grupo A</v>
      </c>
      <c r="AT26" s="207" t="str">
        <f>IF(COUNT($M$22:$M$23)&lt;2,"",IF($M$22&lt;$M$23,"V",IF($M$22&gt;$M$23,"D","Empate??")))</f>
        <v/>
      </c>
      <c r="AU26" s="208" t="str">
        <f>IF(COUNT($M$22:$M$23)&lt;2,"",$M$23)</f>
        <v/>
      </c>
      <c r="AV26" s="209" t="str">
        <f>IF(COUNT($M$22:$M$23)&lt;2,"",$M$22)</f>
        <v/>
      </c>
      <c r="AW26" s="210" t="str">
        <f t="shared" si="3"/>
        <v/>
      </c>
      <c r="AX26" s="209" t="str">
        <f>IF(COUNT($M$22:$M$23)&lt;2,"",SUM($N$23:$P$23))</f>
        <v/>
      </c>
      <c r="AY26" s="211" t="str">
        <f>IF(COUNT($M$22:$M$23)&lt;2,"",SUM($N$22:$P$22))</f>
        <v/>
      </c>
      <c r="AZ26" s="212" t="str">
        <f t="shared" si="2"/>
        <v/>
      </c>
    </row>
    <row r="27" spans="2:52" ht="15" customHeight="1" thickBot="1">
      <c r="B27" s="126"/>
      <c r="C27" s="374"/>
      <c r="D27" s="400" t="str">
        <f>IF(D7="","",D7)</f>
        <v>Francisco Moreira (DSRNorte)</v>
      </c>
      <c r="E27" s="400"/>
      <c r="F27" s="29" t="str">
        <f>IF(COUNT(G27:I27)&lt;1,"",IF(SUM(IF(G27&gt;G26,1,0),IF(H27&gt;H26,1,0),IF(I27&gt;I26,1,0))&gt;2,"??",SUM(IF(G27&gt;G26,1,0),IF(H27&gt;H26,1,0),IF(I27&gt;I26,1,0))))</f>
        <v/>
      </c>
      <c r="G27" s="156"/>
      <c r="H27" s="157"/>
      <c r="I27" s="158"/>
      <c r="J27" s="374"/>
      <c r="K27" s="400" t="str">
        <f>IF(K7="","",K7)</f>
        <v>Pedro Nunes (DSRCentro)</v>
      </c>
      <c r="L27" s="400"/>
      <c r="M27" s="29" t="str">
        <f>IF(COUNT(N27:P27)&lt;1,"",IF(SUM(IF(N27&gt;N26,1,0),IF(O27&gt;O26,1,0),IF(P27&gt;P26,1,0))&gt;2,"??",SUM(IF(N27&gt;N26,1,0),IF(O27&gt;O26,1,0),IF(P27&gt;P26,1,0))))</f>
        <v/>
      </c>
      <c r="N27" s="156"/>
      <c r="O27" s="157"/>
      <c r="P27" s="158"/>
      <c r="Q27" s="374"/>
      <c r="R27" s="400" t="str">
        <f>IF(R7="","",R7)</f>
        <v>Gonçalo Gomes (DSRLisboa)</v>
      </c>
      <c r="S27" s="400"/>
      <c r="T27" s="29" t="str">
        <f>IF(COUNT(U27:W27)&lt;1,"",IF(SUM(IF(U27&gt;U26,1,0),IF(V27&gt;V26,1,0),IF(W27&gt;W26,1,0))&gt;2,"??",SUM(IF(U27&gt;U26,1,0),IF(V27&gt;V26,1,0),IF(W27&gt;W26,1,0))))</f>
        <v/>
      </c>
      <c r="U27" s="156"/>
      <c r="V27" s="157"/>
      <c r="W27" s="158"/>
      <c r="X27" s="374"/>
      <c r="Y27" s="400" t="str">
        <f>IF(Y7="","",Y7)</f>
        <v>David Duarte (DSRAlgarve)</v>
      </c>
      <c r="Z27" s="400"/>
      <c r="AA27" s="29" t="str">
        <f>IF(COUNT(AB27:AD27)&lt;1,"",IF(SUM(IF(AB27&gt;AB26,1,0),IF(AC27&gt;AC26,1,0),IF(AD27&gt;AD26,1,0))&gt;2,"??",SUM(IF(AB27&gt;AB26,1,0),IF(AC27&gt;AC26,1,0),IF(AD27&gt;AD26,1,0))))</f>
        <v/>
      </c>
      <c r="AB27" s="156"/>
      <c r="AC27" s="157"/>
      <c r="AD27" s="158"/>
      <c r="AE27" s="397"/>
      <c r="AG27" s="401">
        <v>1</v>
      </c>
      <c r="AH27" s="402"/>
      <c r="AI27" s="405">
        <v>2</v>
      </c>
      <c r="AJ27" s="406"/>
      <c r="AN27" s="221">
        <f>IF($J24="","",$J24)</f>
        <v>19</v>
      </c>
      <c r="AO27" s="222" t="str">
        <f t="shared" si="4"/>
        <v>Grupo B</v>
      </c>
      <c r="AP27" s="349" t="str">
        <f>IF($K$24="","",$K$24)</f>
        <v>Francisco Seita (DSRLisboa)</v>
      </c>
      <c r="AQ27" s="350" t="str">
        <f t="shared" si="5"/>
        <v>Grupo A</v>
      </c>
      <c r="AR27" s="350" t="str">
        <f t="shared" si="5"/>
        <v>Grupo A</v>
      </c>
      <c r="AS27" s="351" t="str">
        <f t="shared" si="5"/>
        <v>Grupo A</v>
      </c>
      <c r="AT27" s="223" t="str">
        <f>IF(COUNT($M$24:$M$25)&lt;2,"",IF($M$24&gt;$M$25,"V",IF($M$24&lt;$M$25,"D","Empate??")))</f>
        <v/>
      </c>
      <c r="AU27" s="224" t="str">
        <f>IF(COUNT($M$24:$M$25)&lt;2,"",$M$24)</f>
        <v/>
      </c>
      <c r="AV27" s="225" t="str">
        <f>IF(COUNT($M$24:$M$25)&lt;2,"",$M$25)</f>
        <v/>
      </c>
      <c r="AW27" s="226" t="str">
        <f t="shared" si="3"/>
        <v/>
      </c>
      <c r="AX27" s="225" t="str">
        <f>IF(COUNT($M$24:$M$25)&lt;2,"",SUM($N$24:$P$24))</f>
        <v/>
      </c>
      <c r="AY27" s="227" t="str">
        <f>IF(COUNT($M$24:$M$25)&lt;2,"",SUM($N$25:$P$25))</f>
        <v/>
      </c>
      <c r="AZ27" s="228" t="str">
        <f t="shared" si="2"/>
        <v/>
      </c>
    </row>
    <row r="28" spans="2:52" ht="15.75" customHeight="1" thickBot="1">
      <c r="B28" s="126"/>
      <c r="C28" s="383" t="s">
        <v>71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0"/>
      <c r="R28" s="31"/>
      <c r="S28" s="32"/>
      <c r="T28" s="33"/>
      <c r="U28" s="32"/>
      <c r="V28" s="32"/>
      <c r="W28" s="32"/>
      <c r="X28" s="30"/>
      <c r="Y28" s="31"/>
      <c r="Z28" s="32"/>
      <c r="AA28" s="33"/>
      <c r="AB28" s="32"/>
      <c r="AC28" s="32"/>
      <c r="AD28" s="32"/>
      <c r="AE28" s="113"/>
      <c r="AG28" s="403"/>
      <c r="AH28" s="404"/>
      <c r="AI28" s="407"/>
      <c r="AJ28" s="408"/>
      <c r="AN28" s="205">
        <f>IF($J24="","",$J24)</f>
        <v>19</v>
      </c>
      <c r="AO28" s="206" t="str">
        <f t="shared" si="4"/>
        <v>Grupo B</v>
      </c>
      <c r="AP28" s="346" t="str">
        <f>IF($K$25="","",$K$25)</f>
        <v/>
      </c>
      <c r="AQ28" s="347" t="str">
        <f t="shared" si="5"/>
        <v>Grupo A</v>
      </c>
      <c r="AR28" s="347" t="str">
        <f t="shared" si="5"/>
        <v>Grupo A</v>
      </c>
      <c r="AS28" s="348" t="str">
        <f t="shared" si="5"/>
        <v>Grupo A</v>
      </c>
      <c r="AT28" s="207" t="str">
        <f>IF(COUNT($M$24:$M$25)&lt;2,"",IF($M$24&lt;$M$25,"V",IF($M$24&gt;$M$25,"D","Empate??")))</f>
        <v/>
      </c>
      <c r="AU28" s="208" t="str">
        <f>IF(COUNT($M$24:$M$25)&lt;2,"",$M$25)</f>
        <v/>
      </c>
      <c r="AV28" s="209" t="str">
        <f>IF(COUNT($M$24:$M$25)&lt;2,"",$M$24)</f>
        <v/>
      </c>
      <c r="AW28" s="210" t="str">
        <f t="shared" si="3"/>
        <v/>
      </c>
      <c r="AX28" s="209" t="str">
        <f>IF(COUNT($M$24:$M$25)&lt;2,"",SUM($N$25:$P$25))</f>
        <v/>
      </c>
      <c r="AY28" s="211" t="str">
        <f>IF(COUNT($M$24:$M$25)&lt;2,"",SUM($N$24:$P$24))</f>
        <v/>
      </c>
      <c r="AZ28" s="212" t="str">
        <f t="shared" si="2"/>
        <v/>
      </c>
    </row>
    <row r="29" spans="2:52" ht="15" hidden="1" customHeight="1">
      <c r="B29" s="125"/>
      <c r="C29" s="167"/>
      <c r="D29" s="61"/>
      <c r="E29" s="61"/>
      <c r="F29" s="167"/>
      <c r="G29" s="167"/>
      <c r="H29" s="167"/>
      <c r="I29" s="61"/>
      <c r="J29" s="167"/>
      <c r="K29" s="259"/>
      <c r="L29" s="61"/>
      <c r="M29" s="61"/>
      <c r="N29" s="61"/>
      <c r="O29" s="61"/>
      <c r="P29" s="61"/>
      <c r="Q29" s="167"/>
      <c r="R29" s="61"/>
      <c r="S29" s="61"/>
      <c r="T29" s="61"/>
      <c r="U29" s="61"/>
      <c r="V29" s="61"/>
      <c r="W29" s="61"/>
      <c r="X29" s="167"/>
      <c r="Y29" s="337" t="s">
        <v>0</v>
      </c>
      <c r="Z29" s="338"/>
      <c r="AA29" s="338"/>
      <c r="AB29" s="338"/>
      <c r="AC29" s="338"/>
      <c r="AD29" s="339"/>
      <c r="AE29" s="3"/>
      <c r="AG29" s="384" t="s">
        <v>47</v>
      </c>
      <c r="AH29" s="384"/>
      <c r="AI29" s="384"/>
      <c r="AJ29" s="384"/>
      <c r="AN29" s="221">
        <f>IF($J26="","",$J26)</f>
        <v>20</v>
      </c>
      <c r="AO29" s="222" t="str">
        <f t="shared" si="4"/>
        <v>Grupo B</v>
      </c>
      <c r="AP29" s="349" t="str">
        <f>IF($K$26="","",$K$26)</f>
        <v>Alexandre Tavares (DSRNorte)</v>
      </c>
      <c r="AQ29" s="350" t="str">
        <f t="shared" si="5"/>
        <v>Grupo A</v>
      </c>
      <c r="AR29" s="350" t="str">
        <f t="shared" si="5"/>
        <v>Grupo A</v>
      </c>
      <c r="AS29" s="351" t="str">
        <f t="shared" si="5"/>
        <v>Grupo A</v>
      </c>
      <c r="AT29" s="223" t="str">
        <f>IF(COUNT($M$26:$M$27)&lt;2,"",IF($M$26&gt;$M$27,"V",IF($M$26&lt;$M$27,"D","Empate??")))</f>
        <v/>
      </c>
      <c r="AU29" s="224" t="str">
        <f>IF(COUNT($M$26:$M$27)&lt;2,"",$M$26)</f>
        <v/>
      </c>
      <c r="AV29" s="225" t="str">
        <f>IF(COUNT($M$26:$M$27)&lt;2,"",$M$27)</f>
        <v/>
      </c>
      <c r="AW29" s="226" t="str">
        <f t="shared" si="3"/>
        <v/>
      </c>
      <c r="AX29" s="225" t="str">
        <f>IF(COUNT($M$26:$M$27)&lt;2,"",SUM($N$26:$P$26))</f>
        <v/>
      </c>
      <c r="AY29" s="227" t="str">
        <f>IF(COUNT($M$26:$M$27)&lt;2,"",SUM($N$27:$P$27))</f>
        <v/>
      </c>
      <c r="AZ29" s="228" t="str">
        <f t="shared" si="2"/>
        <v/>
      </c>
    </row>
    <row r="30" spans="2:52" ht="15.75" hidden="1" customHeight="1" thickBot="1">
      <c r="B30" s="126"/>
      <c r="C30" s="317" t="str">
        <f>IF(D12="","1º do grupo A",D12)</f>
        <v>1º do grupo A</v>
      </c>
      <c r="D30" s="318"/>
      <c r="E30" s="69"/>
      <c r="F30" s="69"/>
      <c r="G30" s="70"/>
      <c r="H30" s="35" t="str">
        <f>IF(COUNT(E30:G30)&lt;1,"",IF(SUM(IF(E30&gt;E32,1,0),IF(F30&gt;F32,1,0),IF(G30&gt;G32,1,0))&gt;2,"??",SUM(IF(E30&gt;E32,1,0),IF(F30&gt;F32,1,0),IF(G30&gt;G32,1,0))))</f>
        <v/>
      </c>
      <c r="I30" s="36"/>
      <c r="J30" s="40"/>
      <c r="K30" s="55"/>
      <c r="L30" s="55"/>
      <c r="M30" s="55"/>
      <c r="N30" s="55"/>
      <c r="O30" s="55"/>
      <c r="P30" s="55"/>
      <c r="Q30" s="40"/>
      <c r="R30" s="55"/>
      <c r="S30" s="55"/>
      <c r="T30" s="55"/>
      <c r="U30" s="55"/>
      <c r="V30" s="55"/>
      <c r="W30" s="54"/>
      <c r="X30" s="68"/>
      <c r="Y30" s="340"/>
      <c r="Z30" s="341"/>
      <c r="AA30" s="341"/>
      <c r="AB30" s="341"/>
      <c r="AC30" s="341"/>
      <c r="AD30" s="342"/>
      <c r="AE30" s="113"/>
      <c r="AG30" s="385"/>
      <c r="AH30" s="385"/>
      <c r="AI30" s="385"/>
      <c r="AJ30" s="385"/>
      <c r="AN30" s="229">
        <f>IF($J26="","",$J26)</f>
        <v>20</v>
      </c>
      <c r="AO30" s="230" t="str">
        <f t="shared" si="4"/>
        <v>Grupo B</v>
      </c>
      <c r="AP30" s="354" t="str">
        <f>IF($K$27="","",$K$27)</f>
        <v>Pedro Nunes (DSRCentro)</v>
      </c>
      <c r="AQ30" s="355" t="str">
        <f t="shared" si="5"/>
        <v>Grupo A</v>
      </c>
      <c r="AR30" s="355" t="str">
        <f t="shared" si="5"/>
        <v>Grupo A</v>
      </c>
      <c r="AS30" s="356" t="str">
        <f t="shared" si="5"/>
        <v>Grupo A</v>
      </c>
      <c r="AT30" s="231" t="str">
        <f>IF(COUNT($M$26:$M$27)&lt;2,"",IF($M$26&lt;$M$27,"V",IF($M$26&gt;$M$27,"D","Empate??")))</f>
        <v/>
      </c>
      <c r="AU30" s="232" t="str">
        <f>IF(COUNT($M$26:$M$27)&lt;2,"",$M$27)</f>
        <v/>
      </c>
      <c r="AV30" s="233" t="str">
        <f>IF(COUNT($M$26:$M$27)&lt;2,"",$M$26)</f>
        <v/>
      </c>
      <c r="AW30" s="234" t="str">
        <f t="shared" si="3"/>
        <v/>
      </c>
      <c r="AX30" s="233" t="str">
        <f>IF(COUNT($M$26:$M$27)&lt;2,"",SUM($N$27:$P$27))</f>
        <v/>
      </c>
      <c r="AY30" s="235" t="str">
        <f>IF(COUNT($M$26:$M$27)&lt;2,"",SUM($N$26:$P$26))</f>
        <v/>
      </c>
      <c r="AZ30" s="236" t="str">
        <f t="shared" si="2"/>
        <v/>
      </c>
    </row>
    <row r="31" spans="2:52" ht="15.75" hidden="1" customHeight="1">
      <c r="B31" s="126"/>
      <c r="C31" s="68"/>
      <c r="D31" s="37"/>
      <c r="E31" s="41"/>
      <c r="F31" s="41"/>
      <c r="G31" s="62"/>
      <c r="H31" s="64">
        <v>25</v>
      </c>
      <c r="I31" s="386" t="str">
        <f>IF(OR(H30="",H32="")=TRUE,"1ª Meia Final-Jogador1",IF(H30&gt;H32,C30,C32))</f>
        <v>1ª Meia Final-Jogador1</v>
      </c>
      <c r="J31" s="387"/>
      <c r="K31" s="388"/>
      <c r="L31" s="69"/>
      <c r="M31" s="69"/>
      <c r="N31" s="70"/>
      <c r="O31" s="38" t="str">
        <f>IF(COUNT(L31:N31)&lt;1,"",IF(SUM(IF(L31&gt;L35,1,0),IF(M31&gt;M35,1,0),IF(N31&gt;N35,1,0))&gt;2,"??",SUM(IF(L31&gt;L35,1,0),IF(M31&gt;M35,1,0),IF(N31&gt;N35,1,0))))</f>
        <v/>
      </c>
      <c r="P31" s="55"/>
      <c r="Q31" s="40"/>
      <c r="R31" s="55"/>
      <c r="S31" s="55"/>
      <c r="T31" s="55"/>
      <c r="U31" s="55"/>
      <c r="V31" s="55"/>
      <c r="W31" s="54"/>
      <c r="X31" s="68"/>
      <c r="Y31" s="389" t="str">
        <f>IF(X37="1º Classificado","",X37)</f>
        <v/>
      </c>
      <c r="Z31" s="390"/>
      <c r="AA31" s="390"/>
      <c r="AB31" s="390"/>
      <c r="AC31" s="390"/>
      <c r="AD31" s="39" t="s">
        <v>1</v>
      </c>
      <c r="AE31" s="113"/>
      <c r="AG31" s="385"/>
      <c r="AH31" s="385"/>
      <c r="AI31" s="385"/>
      <c r="AJ31" s="385"/>
      <c r="AN31" s="173">
        <f>IF($Q16="","",$Q16)</f>
        <v>5</v>
      </c>
      <c r="AO31" s="174" t="str">
        <f>IF($Q$5="","",$Q$5)</f>
        <v>Grupo C</v>
      </c>
      <c r="AP31" s="376" t="str">
        <f>IF($R$16="","",$R$16)</f>
        <v>Gonçalo Gomes (DSRLisboa)</v>
      </c>
      <c r="AQ31" s="377" t="str">
        <f t="shared" si="5"/>
        <v>Grupo A</v>
      </c>
      <c r="AR31" s="377" t="str">
        <f t="shared" si="5"/>
        <v>Grupo A</v>
      </c>
      <c r="AS31" s="378" t="str">
        <f t="shared" si="5"/>
        <v>Grupo A</v>
      </c>
      <c r="AT31" s="176" t="str">
        <f>IF(COUNT($T$16:$T$17)&lt;2,"",IF($T$16&gt;$T$17,"V",IF($T$16&lt;$T$17,"D","Empate??")))</f>
        <v/>
      </c>
      <c r="AU31" s="177" t="str">
        <f>IF(COUNT($T$16:$T$17)&lt;2,"",$T$16)</f>
        <v/>
      </c>
      <c r="AV31" s="178" t="str">
        <f>IF(COUNT($T$16:$T$17)&lt;2,"",$T$17)</f>
        <v/>
      </c>
      <c r="AW31" s="179" t="str">
        <f t="shared" si="3"/>
        <v/>
      </c>
      <c r="AX31" s="178" t="str">
        <f>IF(COUNT($T$16:$T$17)&lt;2,"",SUM($U$16:$W$16))</f>
        <v/>
      </c>
      <c r="AY31" s="180" t="str">
        <f>IF(COUNT($T$16:$T$17)&lt;2,"",SUM($U$17:$W$17))</f>
        <v/>
      </c>
      <c r="AZ31" s="181" t="str">
        <f t="shared" si="2"/>
        <v/>
      </c>
    </row>
    <row r="32" spans="2:52" ht="15.75" hidden="1" customHeight="1">
      <c r="B32" s="126"/>
      <c r="C32" s="317" t="str">
        <f>IF(K13="","2º do grupo B",K13)</f>
        <v>2º do grupo B</v>
      </c>
      <c r="D32" s="318"/>
      <c r="E32" s="69"/>
      <c r="F32" s="69"/>
      <c r="G32" s="70"/>
      <c r="H32" s="35" t="str">
        <f>IF(COUNT(E32:G32)&lt;1,"",IF(SUM(IF(E30&lt;E32,1,0),IF(F30&lt;F32,1,0),IF(G30&lt;G32,1,0))&gt;2,"??",SUM(IF(E30&lt;E32,1,0),IF(F30&lt;F32,1,0),IF(G30&lt;G32,1,0))))</f>
        <v/>
      </c>
      <c r="I32" s="36"/>
      <c r="J32" s="40"/>
      <c r="K32" s="59"/>
      <c r="L32" s="55"/>
      <c r="M32" s="41"/>
      <c r="N32" s="41"/>
      <c r="O32" s="42"/>
      <c r="P32" s="36"/>
      <c r="Q32" s="40"/>
      <c r="R32" s="55"/>
      <c r="S32" s="55"/>
      <c r="T32" s="55"/>
      <c r="U32" s="55"/>
      <c r="V32" s="60"/>
      <c r="W32" s="53"/>
      <c r="X32" s="48"/>
      <c r="Y32" s="379" t="str">
        <f>IF(Y31="","",IF(Y31=P33,P41,P33))</f>
        <v/>
      </c>
      <c r="Z32" s="380" t="e">
        <f>IF(#REF!="","",IF(#REF!=W32,"","(2º) "))</f>
        <v>#REF!</v>
      </c>
      <c r="AA32" s="380" t="e">
        <f>IF(#REF!="","",IF(#REF!=X32,"","(2º) "))</f>
        <v>#REF!</v>
      </c>
      <c r="AB32" s="380" t="e">
        <f>IF(#REF!="","",IF(#REF!=Y32,"","(2º) "))</f>
        <v>#REF!</v>
      </c>
      <c r="AC32" s="380" t="e">
        <f>IF(#REF!="","",IF(#REF!=Z32,"","(2º) "))</f>
        <v>#REF!</v>
      </c>
      <c r="AD32" s="43" t="s">
        <v>2</v>
      </c>
      <c r="AE32" s="113"/>
      <c r="AN32" s="182">
        <f>IF($Q16="","",$Q16)</f>
        <v>5</v>
      </c>
      <c r="AO32" s="171" t="str">
        <f t="shared" ref="AO32:AO42" si="6">IF($Q$5="","",$Q$5)</f>
        <v>Grupo C</v>
      </c>
      <c r="AP32" s="367" t="str">
        <f>IF($R$17="","",$R$17)</f>
        <v/>
      </c>
      <c r="AQ32" s="368" t="str">
        <f t="shared" si="5"/>
        <v>Grupo A</v>
      </c>
      <c r="AR32" s="368" t="str">
        <f t="shared" si="5"/>
        <v>Grupo A</v>
      </c>
      <c r="AS32" s="369" t="str">
        <f t="shared" si="5"/>
        <v>Grupo A</v>
      </c>
      <c r="AT32" s="183" t="str">
        <f>IF(COUNT($T$16:$T$17)&lt;2,"",IF($T$16&lt;$T$17,"V",IF($T$16&gt;$T$17,"D","Empate??")))</f>
        <v/>
      </c>
      <c r="AU32" s="184" t="str">
        <f>IF(COUNT($T$16:$T$17)&lt;2,"",$T$17)</f>
        <v/>
      </c>
      <c r="AV32" s="185" t="str">
        <f>IF(COUNT($T$16:$T$17)&lt;2,"",$T$16)</f>
        <v/>
      </c>
      <c r="AW32" s="186" t="str">
        <f t="shared" si="3"/>
        <v/>
      </c>
      <c r="AX32" s="185" t="str">
        <f>IF(COUNT($T$16:$T$17)&lt;2,"",SUM($U$17:$W$17))</f>
        <v/>
      </c>
      <c r="AY32" s="187" t="str">
        <f>IF(COUNT($T$16:$T$17)&lt;2,"",SUM($U$16:$W$16))</f>
        <v/>
      </c>
      <c r="AZ32" s="188" t="str">
        <f t="shared" si="2"/>
        <v/>
      </c>
    </row>
    <row r="33" spans="2:52" ht="15.75" hidden="1" customHeight="1">
      <c r="B33" s="126"/>
      <c r="C33" s="68"/>
      <c r="D33" s="37"/>
      <c r="E33" s="55"/>
      <c r="F33" s="42"/>
      <c r="G33" s="44"/>
      <c r="H33" s="44"/>
      <c r="I33" s="55"/>
      <c r="J33" s="40"/>
      <c r="K33" s="59"/>
      <c r="L33" s="55"/>
      <c r="M33" s="42"/>
      <c r="N33" s="42"/>
      <c r="O33" s="64">
        <v>29</v>
      </c>
      <c r="P33" s="322" t="str">
        <f>IF(OR(O31="",O35="")=TRUE,"Final-Jogador1",IF(O31&gt;O35,I31,I35))</f>
        <v>Final-Jogador1</v>
      </c>
      <c r="Q33" s="317"/>
      <c r="R33" s="317"/>
      <c r="S33" s="318"/>
      <c r="T33" s="69"/>
      <c r="U33" s="69"/>
      <c r="V33" s="69"/>
      <c r="W33" s="45" t="str">
        <f>IF(COUNT(T33:V33)&lt;1,"",IF(SUM(IF(T33&gt;T41,1,0),IF(U33&gt;U41,1,0),IF(V33&gt;V41,1,0))&gt;2,"??",SUM(IF(T33&gt;T41,1,0),IF(U33&gt;U41,1,0),IF(V33&gt;V41,1,0))))</f>
        <v/>
      </c>
      <c r="X33" s="48"/>
      <c r="Y33" s="381" t="str">
        <f>IF(P37="3º Classificado","",P37)</f>
        <v/>
      </c>
      <c r="Z33" s="382"/>
      <c r="AA33" s="382"/>
      <c r="AB33" s="382"/>
      <c r="AC33" s="382"/>
      <c r="AD33" s="166" t="s">
        <v>3</v>
      </c>
      <c r="AE33" s="113"/>
      <c r="AN33" s="189">
        <f>IF($Q18="","",$Q18)</f>
        <v>6</v>
      </c>
      <c r="AO33" s="172" t="str">
        <f t="shared" si="6"/>
        <v>Grupo C</v>
      </c>
      <c r="AP33" s="364" t="str">
        <f>IF($R$18="","",$R$18)</f>
        <v>Paulo Gonçalves (DSRNorte)</v>
      </c>
      <c r="AQ33" s="365" t="str">
        <f t="shared" si="5"/>
        <v>Grupo A</v>
      </c>
      <c r="AR33" s="365" t="str">
        <f t="shared" si="5"/>
        <v>Grupo A</v>
      </c>
      <c r="AS33" s="366" t="str">
        <f t="shared" si="5"/>
        <v>Grupo A</v>
      </c>
      <c r="AT33" s="190" t="str">
        <f>IF(COUNT($T$18:$T$19)&lt;2,"",IF($T$18&gt;$T$19,"V",IF($T$18&lt;$T$19,"D","Empate??")))</f>
        <v/>
      </c>
      <c r="AU33" s="191" t="str">
        <f>IF(COUNT($T$18:$T$19)&lt;2,"",$T$18)</f>
        <v/>
      </c>
      <c r="AV33" s="192" t="str">
        <f>IF(COUNT($T$18:$T$19)&lt;2,"",$T$19)</f>
        <v/>
      </c>
      <c r="AW33" s="193" t="str">
        <f t="shared" si="3"/>
        <v/>
      </c>
      <c r="AX33" s="192" t="str">
        <f>IF(COUNT($T$18:$T$19)&lt;2,"",SUM($U$18:$W$18))</f>
        <v/>
      </c>
      <c r="AY33" s="194" t="str">
        <f>IF(COUNT($T$18:$T$19)&lt;2,"",SUM($U$19:$W$19))</f>
        <v/>
      </c>
      <c r="AZ33" s="195" t="str">
        <f t="shared" si="2"/>
        <v/>
      </c>
    </row>
    <row r="34" spans="2:52" ht="15.75" hidden="1" customHeight="1" thickBot="1">
      <c r="B34" s="126"/>
      <c r="C34" s="317" t="str">
        <f>IF(Y13="","2º do grupo D",Y13)</f>
        <v>2º do grupo D</v>
      </c>
      <c r="D34" s="318"/>
      <c r="E34" s="69"/>
      <c r="F34" s="69"/>
      <c r="G34" s="70"/>
      <c r="H34" s="35" t="str">
        <f>IF(COUNT(E34:G34)&lt;1,"",IF(SUM(IF(E34&gt;E36,1,0),IF(F34&gt;F36,1,0),IF(G34&gt;G36,1,0))&gt;2,"??",SUM(IF(E34&gt;E36,1,0),IF(F34&gt;F36,1,0),IF(G34&gt;G36,1,0))))</f>
        <v/>
      </c>
      <c r="I34" s="36"/>
      <c r="J34" s="40"/>
      <c r="K34" s="59"/>
      <c r="L34" s="55"/>
      <c r="M34" s="42"/>
      <c r="N34" s="42"/>
      <c r="O34" s="42"/>
      <c r="P34" s="36"/>
      <c r="Q34" s="40"/>
      <c r="R34" s="55"/>
      <c r="S34" s="46"/>
      <c r="T34" s="42"/>
      <c r="U34" s="42"/>
      <c r="V34" s="67"/>
      <c r="W34" s="47"/>
      <c r="X34" s="48"/>
      <c r="Y34" s="371" t="str">
        <f>IF(Y33="","",IF(Y33=P35,P39,P35))</f>
        <v/>
      </c>
      <c r="Z34" s="372" t="e">
        <f>IF(#REF!="","",IF(#REF!=W34,"","(2º) "))</f>
        <v>#REF!</v>
      </c>
      <c r="AA34" s="372" t="e">
        <f>IF(#REF!="","",IF(#REF!=X34,"","(2º) "))</f>
        <v>#REF!</v>
      </c>
      <c r="AB34" s="372" t="e">
        <f>IF(#REF!="","",IF(#REF!=Y34,"","(2º) "))</f>
        <v>#REF!</v>
      </c>
      <c r="AC34" s="372" t="e">
        <f>IF(#REF!="","",IF(#REF!=Z34,"","(2º) "))</f>
        <v>#REF!</v>
      </c>
      <c r="AD34" s="165" t="s">
        <v>4</v>
      </c>
      <c r="AE34" s="113"/>
      <c r="AN34" s="182">
        <f>IF($Q18="","",$Q18)</f>
        <v>6</v>
      </c>
      <c r="AO34" s="171" t="str">
        <f t="shared" si="6"/>
        <v>Grupo C</v>
      </c>
      <c r="AP34" s="367" t="str">
        <f>IF($R$19="","",$R$19)</f>
        <v>Rafael Riscado (DSRCentro)</v>
      </c>
      <c r="AQ34" s="368" t="str">
        <f t="shared" si="5"/>
        <v>Grupo A</v>
      </c>
      <c r="AR34" s="368" t="str">
        <f t="shared" si="5"/>
        <v>Grupo A</v>
      </c>
      <c r="AS34" s="369" t="str">
        <f t="shared" si="5"/>
        <v>Grupo A</v>
      </c>
      <c r="AT34" s="183" t="str">
        <f>IF(COUNT($T$18:$T$19)&lt;2,"",IF($T$18&lt;$T$19,"V",IF($T$18&gt;$T$19,"D","Empate??")))</f>
        <v/>
      </c>
      <c r="AU34" s="184" t="str">
        <f>IF(COUNT($T$18:$T$19)&lt;2,"",$T$19)</f>
        <v/>
      </c>
      <c r="AV34" s="185" t="str">
        <f>IF(COUNT($T$18:$T$19)&lt;2,"",$T$18)</f>
        <v/>
      </c>
      <c r="AW34" s="186" t="str">
        <f t="shared" si="3"/>
        <v/>
      </c>
      <c r="AX34" s="185" t="str">
        <f>IF(COUNT($T$18:$T$19)&lt;2,"",SUM($U$19:$W$19))</f>
        <v/>
      </c>
      <c r="AY34" s="187" t="str">
        <f>IF(COUNT($T$18:$T$19)&lt;2,"",SUM($U$18:$W$18))</f>
        <v/>
      </c>
      <c r="AZ34" s="188" t="str">
        <f t="shared" si="2"/>
        <v/>
      </c>
    </row>
    <row r="35" spans="2:52" ht="15.75" hidden="1" customHeight="1">
      <c r="B35" s="126"/>
      <c r="C35" s="68"/>
      <c r="D35" s="37"/>
      <c r="E35" s="55"/>
      <c r="F35" s="42"/>
      <c r="G35" s="44"/>
      <c r="H35" s="63">
        <v>26</v>
      </c>
      <c r="I35" s="322" t="str">
        <f>IF(OR(H34="",H36="")=TRUE,"1ª Meia Final-Jogador2",IF(H34&gt;H36,C34,C36))</f>
        <v>1ª Meia Final-Jogador2</v>
      </c>
      <c r="J35" s="317"/>
      <c r="K35" s="318"/>
      <c r="L35" s="69"/>
      <c r="M35" s="69"/>
      <c r="N35" s="70"/>
      <c r="O35" s="38" t="str">
        <f>IF(COUNT(L35:N35)&lt;1,"",IF(SUM(IF(L31&lt;L35,1,0),IF(M31&lt;M35,1,0),IF(N31&lt;N35,1,0))&gt;2,"??",SUM(IF(L31&lt;L35,1,0),IF(M31&lt;M35,1,0),IF(N31&lt;N35,1,0))))</f>
        <v/>
      </c>
      <c r="P35" s="319" t="str">
        <f>IF(P33="Final-Jogador1","Disputa 3º/4º  Jogador1",IF(P33=I31,I35,I31))</f>
        <v>Disputa 3º/4º  Jogador1</v>
      </c>
      <c r="Q35" s="320"/>
      <c r="R35" s="321"/>
      <c r="S35" s="69"/>
      <c r="T35" s="69"/>
      <c r="U35" s="69"/>
      <c r="V35" s="49" t="str">
        <f>IF(COUNT(S35:U35)&lt;1,"",IF(SUM(IF(S35&gt;S39,1,0),IF(T35&gt;T39,1,0),IF(U35&gt;U39,1,0))&gt;2,"??",SUM(IF(S35&gt;S39,1,0),IF(T35&gt;T39,1,0),IF(U35&gt;U39,1,0))))</f>
        <v/>
      </c>
      <c r="W35" s="50"/>
      <c r="X35" s="48"/>
      <c r="Y35" s="53"/>
      <c r="Z35" s="53"/>
      <c r="AA35" s="53"/>
      <c r="AB35" s="53"/>
      <c r="AC35" s="53"/>
      <c r="AD35" s="54"/>
      <c r="AE35" s="113"/>
      <c r="AN35" s="189">
        <f>IF($Q20="","",$Q20)</f>
        <v>13</v>
      </c>
      <c r="AO35" s="172" t="str">
        <f t="shared" si="6"/>
        <v>Grupo C</v>
      </c>
      <c r="AP35" s="364" t="str">
        <f>IF($R$20="","",$R$20)</f>
        <v/>
      </c>
      <c r="AQ35" s="365" t="str">
        <f t="shared" si="5"/>
        <v>Grupo A</v>
      </c>
      <c r="AR35" s="365" t="str">
        <f t="shared" si="5"/>
        <v>Grupo A</v>
      </c>
      <c r="AS35" s="366" t="str">
        <f t="shared" si="5"/>
        <v>Grupo A</v>
      </c>
      <c r="AT35" s="190" t="str">
        <f>IF(COUNT($T$20:$T$21)&lt;2,"",IF($T$20&gt;$T$21,"V",IF($T$20&lt;$T$21,"D","Empate??")))</f>
        <v/>
      </c>
      <c r="AU35" s="191" t="str">
        <f>IF(COUNT($T$20:$T$21)&lt;2,"",$T$20)</f>
        <v/>
      </c>
      <c r="AV35" s="192" t="str">
        <f>IF(COUNT($T$20:$T$21)&lt;2,"",$T$21)</f>
        <v/>
      </c>
      <c r="AW35" s="193" t="str">
        <f t="shared" si="3"/>
        <v/>
      </c>
      <c r="AX35" s="192" t="str">
        <f>IF(COUNT($T$20:$T$21)&lt;2,"",SUM($U$20:$W$20))</f>
        <v/>
      </c>
      <c r="AY35" s="194" t="str">
        <f>IF(COUNT($T$20:$T$21)&lt;2,"",SUM($U$21:$W$21))</f>
        <v/>
      </c>
      <c r="AZ35" s="195" t="str">
        <f t="shared" si="2"/>
        <v/>
      </c>
    </row>
    <row r="36" spans="2:52" ht="15.75" hidden="1" customHeight="1">
      <c r="B36" s="126"/>
      <c r="C36" s="317" t="str">
        <f>IF(R12="","1º do grupo C",R12)</f>
        <v>1º do grupo C</v>
      </c>
      <c r="D36" s="318"/>
      <c r="E36" s="69"/>
      <c r="F36" s="69"/>
      <c r="G36" s="70"/>
      <c r="H36" s="35" t="str">
        <f>IF(COUNT(E36:G36)&lt;1,"",IF(SUM(IF(E34&lt;E36,1,0),IF(F34&lt;F36,1,0),IF(G34&lt;G36,1,0))&gt;2,"??",SUM(IF(E34&lt;E36,1,0),IF(F34&lt;F36,1,0),IF(G34&lt;G36,1,0))))</f>
        <v/>
      </c>
      <c r="I36" s="36"/>
      <c r="J36" s="40"/>
      <c r="K36" s="59"/>
      <c r="L36" s="46"/>
      <c r="M36" s="42"/>
      <c r="N36" s="42"/>
      <c r="O36" s="42"/>
      <c r="P36" s="55"/>
      <c r="Q36" s="51"/>
      <c r="R36" s="46"/>
      <c r="S36" s="46"/>
      <c r="T36" s="41"/>
      <c r="U36" s="41"/>
      <c r="V36" s="52"/>
      <c r="W36" s="50"/>
      <c r="X36" s="48"/>
      <c r="Y36" s="53"/>
      <c r="Z36" s="53"/>
      <c r="AA36" s="53"/>
      <c r="AB36" s="53"/>
      <c r="AC36" s="53"/>
      <c r="AD36" s="54"/>
      <c r="AE36" s="113"/>
      <c r="AN36" s="182">
        <f>IF($Q20="","",$Q20)</f>
        <v>13</v>
      </c>
      <c r="AO36" s="171" t="str">
        <f t="shared" si="6"/>
        <v>Grupo C</v>
      </c>
      <c r="AP36" s="367" t="str">
        <f>IF($R$21="","",$R$21)</f>
        <v>Rafael Riscado (DSRCentro)</v>
      </c>
      <c r="AQ36" s="368" t="str">
        <f t="shared" si="5"/>
        <v>Grupo A</v>
      </c>
      <c r="AR36" s="368" t="str">
        <f t="shared" si="5"/>
        <v>Grupo A</v>
      </c>
      <c r="AS36" s="369" t="str">
        <f t="shared" si="5"/>
        <v>Grupo A</v>
      </c>
      <c r="AT36" s="183" t="str">
        <f>IF(COUNT($T$20:$T$21)&lt;2,"",IF($T$20&lt;$T$21,"V",IF($T$20&gt;$T$21,"D","Empate??")))</f>
        <v/>
      </c>
      <c r="AU36" s="184" t="str">
        <f>IF(COUNT($T$20:$T$21)&lt;2,"",$T$21)</f>
        <v/>
      </c>
      <c r="AV36" s="185" t="str">
        <f>IF(COUNT($T$20:$T$21)&lt;2,"",$T$20)</f>
        <v/>
      </c>
      <c r="AW36" s="186" t="str">
        <f t="shared" si="3"/>
        <v/>
      </c>
      <c r="AX36" s="185" t="str">
        <f>IF(COUNT($T$20:$T$21)&lt;2,"",SUM($U$21:$W$21))</f>
        <v/>
      </c>
      <c r="AY36" s="187" t="str">
        <f>IF(COUNT($T$20:$T$21)&lt;2,"",SUM($U$20:$W$20))</f>
        <v/>
      </c>
      <c r="AZ36" s="188" t="str">
        <f t="shared" si="2"/>
        <v/>
      </c>
    </row>
    <row r="37" spans="2:52" ht="27" hidden="1" customHeight="1">
      <c r="B37" s="126"/>
      <c r="C37" s="127" t="s">
        <v>72</v>
      </c>
      <c r="D37" s="71"/>
      <c r="E37" s="118"/>
      <c r="F37" s="118"/>
      <c r="G37" s="119"/>
      <c r="H37" s="120"/>
      <c r="I37" s="55"/>
      <c r="J37" s="40"/>
      <c r="K37" s="59"/>
      <c r="L37" s="55"/>
      <c r="M37" s="42"/>
      <c r="N37" s="42"/>
      <c r="O37" s="42"/>
      <c r="P37" s="328" t="str">
        <f>IF(OR(V35="",V39="")=TRUE,"3º Classificado",IF(V35&gt;V39,P35,P39))</f>
        <v>3º Classificado</v>
      </c>
      <c r="Q37" s="328"/>
      <c r="R37" s="328"/>
      <c r="S37" s="328"/>
      <c r="T37" s="328"/>
      <c r="U37" s="328"/>
      <c r="V37" s="65">
        <v>31</v>
      </c>
      <c r="W37" s="66">
        <v>32</v>
      </c>
      <c r="X37" s="329" t="str">
        <f>IF(OR(W33="",W41="")=TRUE,"1º Classificado",IF(W33&gt;W41,P33,P41))</f>
        <v>1º Classificado</v>
      </c>
      <c r="Y37" s="330"/>
      <c r="Z37" s="330"/>
      <c r="AA37" s="330"/>
      <c r="AB37" s="330"/>
      <c r="AC37" s="330"/>
      <c r="AD37" s="54"/>
      <c r="AE37" s="113"/>
      <c r="AN37" s="189">
        <f>IF($Q22="","",$Q22)</f>
        <v>14</v>
      </c>
      <c r="AO37" s="172" t="str">
        <f t="shared" si="6"/>
        <v>Grupo C</v>
      </c>
      <c r="AP37" s="364" t="str">
        <f>IF($R$22="","",$R$22)</f>
        <v>Gonçalo Gomes (DSRLisboa)</v>
      </c>
      <c r="AQ37" s="365" t="str">
        <f t="shared" si="5"/>
        <v>Grupo A</v>
      </c>
      <c r="AR37" s="365" t="str">
        <f t="shared" si="5"/>
        <v>Grupo A</v>
      </c>
      <c r="AS37" s="366" t="str">
        <f t="shared" si="5"/>
        <v>Grupo A</v>
      </c>
      <c r="AT37" s="190" t="str">
        <f>IF(COUNT($T$22:$T$23)&lt;2,"",IF($T$22&gt;$T$23,"V",IF($T$22&lt;$T$23,"D","Empate??")))</f>
        <v/>
      </c>
      <c r="AU37" s="191" t="str">
        <f>IF(COUNT($T$22:$T$23)&lt;2,"",$T$22)</f>
        <v/>
      </c>
      <c r="AV37" s="192" t="str">
        <f>IF(COUNT($T$22:$T$23)&lt;2,"",$T$23)</f>
        <v/>
      </c>
      <c r="AW37" s="193" t="str">
        <f t="shared" si="3"/>
        <v/>
      </c>
      <c r="AX37" s="192" t="str">
        <f>IF(COUNT($T$22:$T$23)&lt;2,"",SUM($U$22:$W$22))</f>
        <v/>
      </c>
      <c r="AY37" s="194" t="str">
        <f>IF(COUNT($T$22:$T$23)&lt;2,"",SUM($U$23:$W$23))</f>
        <v/>
      </c>
      <c r="AZ37" s="195" t="str">
        <f t="shared" si="2"/>
        <v/>
      </c>
    </row>
    <row r="38" spans="2:52" ht="15.75" hidden="1" customHeight="1">
      <c r="B38" s="126"/>
      <c r="C38" s="317" t="str">
        <f>IF(K12="","1º do grupo B",K12)</f>
        <v>1º do grupo B</v>
      </c>
      <c r="D38" s="318"/>
      <c r="E38" s="69"/>
      <c r="F38" s="69"/>
      <c r="G38" s="70"/>
      <c r="H38" s="35" t="str">
        <f>IF(COUNT(E38:G38)&lt;1,"",IF(SUM(IF(E38&gt;E40,1,0),IF(F38&gt;F40,1,0),IF(G38&gt;G40,1,0))&gt;2,"??",SUM(IF(E38&gt;E40,1,0),IF(F38&gt;F40,1,0),IF(G38&gt;G40,1,0))))</f>
        <v/>
      </c>
      <c r="I38" s="36"/>
      <c r="J38" s="40"/>
      <c r="K38" s="59"/>
      <c r="L38" s="55"/>
      <c r="M38" s="42"/>
      <c r="N38" s="42"/>
      <c r="O38" s="42"/>
      <c r="P38" s="55"/>
      <c r="Q38" s="40"/>
      <c r="R38" s="55"/>
      <c r="S38" s="55"/>
      <c r="T38" s="42"/>
      <c r="U38" s="42"/>
      <c r="V38" s="56"/>
      <c r="W38" s="50"/>
      <c r="X38" s="48"/>
      <c r="Y38" s="370" t="s">
        <v>5</v>
      </c>
      <c r="Z38" s="370"/>
      <c r="AA38" s="370"/>
      <c r="AB38" s="370"/>
      <c r="AC38" s="370"/>
      <c r="AD38" s="54"/>
      <c r="AE38" s="113"/>
      <c r="AN38" s="182">
        <f>IF($Q22="","",$Q22)</f>
        <v>14</v>
      </c>
      <c r="AO38" s="171" t="str">
        <f t="shared" si="6"/>
        <v>Grupo C</v>
      </c>
      <c r="AP38" s="367" t="str">
        <f>IF($R$23="","",$R$23)</f>
        <v>Paulo Gonçalves (DSRNorte)</v>
      </c>
      <c r="AQ38" s="368" t="str">
        <f t="shared" si="5"/>
        <v>Grupo A</v>
      </c>
      <c r="AR38" s="368" t="str">
        <f t="shared" si="5"/>
        <v>Grupo A</v>
      </c>
      <c r="AS38" s="369" t="str">
        <f t="shared" si="5"/>
        <v>Grupo A</v>
      </c>
      <c r="AT38" s="183" t="str">
        <f>IF(COUNT($T$22:$T$23)&lt;2,"",IF($T$22&lt;$T$23,"V",IF($T$22&gt;$T$23,"D","Empate??")))</f>
        <v/>
      </c>
      <c r="AU38" s="184" t="str">
        <f>IF(COUNT($T$22:$T$23)&lt;2,"",$T$23)</f>
        <v/>
      </c>
      <c r="AV38" s="185" t="str">
        <f>IF(COUNT($T$22:$T$23)&lt;2,"",$T$22)</f>
        <v/>
      </c>
      <c r="AW38" s="186" t="str">
        <f t="shared" si="3"/>
        <v/>
      </c>
      <c r="AX38" s="185" t="str">
        <f>IF(COUNT($T$22:$T$23)&lt;2,"",SUM($U$23:$W$23))</f>
        <v/>
      </c>
      <c r="AY38" s="187" t="str">
        <f>IF(COUNT($T$22:$T$23)&lt;2,"",SUM($U$22:$W$22))</f>
        <v/>
      </c>
      <c r="AZ38" s="188" t="str">
        <f t="shared" si="2"/>
        <v/>
      </c>
    </row>
    <row r="39" spans="2:52" ht="15.75" hidden="1" customHeight="1">
      <c r="B39" s="126"/>
      <c r="C39" s="68"/>
      <c r="D39" s="37"/>
      <c r="E39" s="55"/>
      <c r="F39" s="41"/>
      <c r="G39" s="44"/>
      <c r="H39" s="63">
        <v>27</v>
      </c>
      <c r="I39" s="322" t="str">
        <f>IF(OR(H38="",H40="")=TRUE,"2ª Meia Final-Jogador1",IF(H38&gt;H40,C38,C40))</f>
        <v>2ª Meia Final-Jogador1</v>
      </c>
      <c r="J39" s="317"/>
      <c r="K39" s="318"/>
      <c r="L39" s="69"/>
      <c r="M39" s="69"/>
      <c r="N39" s="70"/>
      <c r="O39" s="38" t="str">
        <f>IF(COUNT(L39:N39)&lt;1,"",IF(SUM(IF(L39&gt;L43,1,0),IF(M39&gt;M43,1,0),IF(N39&gt;N43,1,0))&gt;2,"??",SUM(IF(L39&gt;L43,1,0),IF(M39&gt;M43,1,0),IF(N39&gt;N43,1,0))))</f>
        <v/>
      </c>
      <c r="P39" s="319" t="str">
        <f>IF(P41="Final-Jogador2","Disputa 3º/4º  Jogador2",IF(P41=I39,I43,I39))</f>
        <v>Disputa 3º/4º  Jogador2</v>
      </c>
      <c r="Q39" s="320"/>
      <c r="R39" s="321"/>
      <c r="S39" s="69"/>
      <c r="T39" s="69"/>
      <c r="U39" s="69"/>
      <c r="V39" s="49" t="str">
        <f>IF(COUNT(S39:U39)&lt;1,"",IF(SUM(IF(S35&lt;S39,1,0),IF(T35&lt;T39,1,0),IF(U35&lt;U39,1,0))&gt;2,"??",SUM(IF(S35&lt;S39,1,0),IF(T35&lt;T39,1,0),IF(U35&lt;U39,1,0))))</f>
        <v/>
      </c>
      <c r="W39" s="50"/>
      <c r="X39" s="48"/>
      <c r="Y39" s="53"/>
      <c r="Z39" s="53"/>
      <c r="AA39" s="53"/>
      <c r="AB39" s="57"/>
      <c r="AC39" s="57"/>
      <c r="AD39" s="58"/>
      <c r="AE39" s="113"/>
      <c r="AN39" s="189">
        <f>IF($Q24="","",$Q24)</f>
        <v>21</v>
      </c>
      <c r="AO39" s="172" t="str">
        <f t="shared" si="6"/>
        <v>Grupo C</v>
      </c>
      <c r="AP39" s="364" t="str">
        <f>IF($R$24="","",$R$24)</f>
        <v>Paulo Gonçalves (DSRNorte)</v>
      </c>
      <c r="AQ39" s="365" t="str">
        <f t="shared" ref="AQ39:AS54" si="7">IF($C$5="","",$C$5)</f>
        <v>Grupo A</v>
      </c>
      <c r="AR39" s="365" t="str">
        <f t="shared" si="7"/>
        <v>Grupo A</v>
      </c>
      <c r="AS39" s="366" t="str">
        <f t="shared" si="7"/>
        <v>Grupo A</v>
      </c>
      <c r="AT39" s="190" t="str">
        <f>IF(COUNT($T$24:$T$25)&lt;2,"",IF($T$24&gt;$T$25,"V",IF($T$24&lt;$T$25,"D","Empate??")))</f>
        <v/>
      </c>
      <c r="AU39" s="191" t="str">
        <f>IF(COUNT($T$24:$T$25)&lt;2,"",$T$24)</f>
        <v/>
      </c>
      <c r="AV39" s="192" t="str">
        <f>IF(COUNT($T$24:$T$25)&lt;2,"",$T$25)</f>
        <v/>
      </c>
      <c r="AW39" s="193" t="str">
        <f t="shared" si="3"/>
        <v/>
      </c>
      <c r="AX39" s="192" t="str">
        <f>IF(COUNT($T$24:$T$25)&lt;2,"",SUM($U$24:$W$24))</f>
        <v/>
      </c>
      <c r="AY39" s="194" t="str">
        <f>IF(COUNT($T$24:$T$25)&lt;2,"",SUM($U$25:$W$25))</f>
        <v/>
      </c>
      <c r="AZ39" s="195" t="str">
        <f t="shared" si="2"/>
        <v/>
      </c>
    </row>
    <row r="40" spans="2:52" ht="15.75" hidden="1" customHeight="1">
      <c r="B40" s="126"/>
      <c r="C40" s="317" t="str">
        <f>IF(D13="","2º do grupo A",D13)</f>
        <v>2º do grupo A</v>
      </c>
      <c r="D40" s="318"/>
      <c r="E40" s="69"/>
      <c r="F40" s="69"/>
      <c r="G40" s="70"/>
      <c r="H40" s="35" t="str">
        <f>IF(COUNT(E40:G40)&lt;1,"",IF(SUM(IF(E38&lt;E40,1,0),IF(F38&lt;F40,1,0),IF(G38&lt;G40,1,0))&gt;2,"??",SUM(IF(E38&lt;E40,1,0),IF(F38&lt;F40,1,0),IF(G38&lt;G40,1,0))))</f>
        <v/>
      </c>
      <c r="I40" s="36"/>
      <c r="J40" s="40"/>
      <c r="K40" s="59"/>
      <c r="L40" s="55"/>
      <c r="M40" s="41"/>
      <c r="N40" s="41"/>
      <c r="O40" s="42"/>
      <c r="P40" s="36"/>
      <c r="Q40" s="51"/>
      <c r="R40" s="46"/>
      <c r="S40" s="55"/>
      <c r="T40" s="42"/>
      <c r="U40" s="42"/>
      <c r="V40" s="67"/>
      <c r="W40" s="50"/>
      <c r="X40" s="48"/>
      <c r="Y40" s="53"/>
      <c r="Z40" s="53"/>
      <c r="AA40" s="53"/>
      <c r="AB40" s="53"/>
      <c r="AC40" s="53"/>
      <c r="AD40" s="54"/>
      <c r="AE40" s="113"/>
      <c r="AN40" s="182">
        <f>IF($Q24="","",$Q24)</f>
        <v>21</v>
      </c>
      <c r="AO40" s="171" t="str">
        <f t="shared" si="6"/>
        <v>Grupo C</v>
      </c>
      <c r="AP40" s="367" t="str">
        <f>IF($R$25="","",$R$25)</f>
        <v/>
      </c>
      <c r="AQ40" s="368" t="str">
        <f t="shared" si="7"/>
        <v>Grupo A</v>
      </c>
      <c r="AR40" s="368" t="str">
        <f t="shared" si="7"/>
        <v>Grupo A</v>
      </c>
      <c r="AS40" s="369" t="str">
        <f t="shared" si="7"/>
        <v>Grupo A</v>
      </c>
      <c r="AT40" s="183" t="str">
        <f>IF(COUNT($T$24:$T$25)&lt;2,"",IF($T$24&lt;$T$25,"V",IF($T$24&gt;$T$25,"D","Empate??")))</f>
        <v/>
      </c>
      <c r="AU40" s="184" t="str">
        <f>IF(COUNT($T$24:$T$25)&lt;2,"",$T$25)</f>
        <v/>
      </c>
      <c r="AV40" s="185" t="str">
        <f>IF(COUNT($T$24:$T$25)&lt;2,"",$T$24)</f>
        <v/>
      </c>
      <c r="AW40" s="186" t="str">
        <f t="shared" si="3"/>
        <v/>
      </c>
      <c r="AX40" s="185" t="str">
        <f>IF(COUNT($T$24:$T$25)&lt;2,"",SUM($U$25:$W$25))</f>
        <v/>
      </c>
      <c r="AY40" s="187" t="str">
        <f>IF(COUNT($T$24:$T$25)&lt;2,"",SUM($U$24:$W$24))</f>
        <v/>
      </c>
      <c r="AZ40" s="188" t="str">
        <f t="shared" si="2"/>
        <v/>
      </c>
    </row>
    <row r="41" spans="2:52" ht="15.75" hidden="1" customHeight="1">
      <c r="B41" s="126"/>
      <c r="C41" s="68"/>
      <c r="D41" s="37"/>
      <c r="E41" s="55"/>
      <c r="F41" s="42"/>
      <c r="G41" s="44"/>
      <c r="H41" s="121"/>
      <c r="I41" s="55"/>
      <c r="J41" s="40"/>
      <c r="K41" s="59"/>
      <c r="L41" s="55"/>
      <c r="M41" s="42"/>
      <c r="N41" s="42"/>
      <c r="O41" s="64">
        <v>30</v>
      </c>
      <c r="P41" s="322" t="str">
        <f>IF(OR(O39="",O43="")=TRUE,"Final-Jogador2",IF(O39&gt;O43,I39,I43))</f>
        <v>Final-Jogador2</v>
      </c>
      <c r="Q41" s="317"/>
      <c r="R41" s="317"/>
      <c r="S41" s="318"/>
      <c r="T41" s="69"/>
      <c r="U41" s="69"/>
      <c r="V41" s="69"/>
      <c r="W41" s="45" t="str">
        <f>IF(COUNT(T41:V41)&lt;1,"",IF(SUM(IF(T33&lt;T41,1,0),IF(U33&lt;U41,1,0),IF(V33&lt;V41,1,0))&gt;2,"??",SUM(IF(T33&lt;T41,1,0),IF(U33&lt;U41,1,0),IF(V33&lt;V41,1,0))))</f>
        <v/>
      </c>
      <c r="X41" s="48"/>
      <c r="Y41" s="53"/>
      <c r="Z41" s="53"/>
      <c r="AA41" s="53"/>
      <c r="AB41" s="53"/>
      <c r="AC41" s="53"/>
      <c r="AD41" s="54"/>
      <c r="AE41" s="113"/>
      <c r="AN41" s="189">
        <f>IF($Q26="","",$Q26)</f>
        <v>22</v>
      </c>
      <c r="AO41" s="172" t="str">
        <f t="shared" si="6"/>
        <v>Grupo C</v>
      </c>
      <c r="AP41" s="364" t="str">
        <f>IF($R$26="","",$R$26)</f>
        <v>Rafael Riscado (DSRCentro)</v>
      </c>
      <c r="AQ41" s="365" t="str">
        <f t="shared" si="7"/>
        <v>Grupo A</v>
      </c>
      <c r="AR41" s="365" t="str">
        <f t="shared" si="7"/>
        <v>Grupo A</v>
      </c>
      <c r="AS41" s="366" t="str">
        <f t="shared" si="7"/>
        <v>Grupo A</v>
      </c>
      <c r="AT41" s="190" t="str">
        <f>IF(COUNT($T$26:$T$27)&lt;2,"",IF($T$26&gt;$T$27,"V",IF($T$26&lt;$T$27,"D","Empate??")))</f>
        <v/>
      </c>
      <c r="AU41" s="191" t="str">
        <f>IF(COUNT($T$26:$T$27)&lt;2,"",$T$26)</f>
        <v/>
      </c>
      <c r="AV41" s="192" t="str">
        <f>IF(COUNT($T$26:$T$27)&lt;2,"",$T$27)</f>
        <v/>
      </c>
      <c r="AW41" s="193" t="str">
        <f t="shared" si="3"/>
        <v/>
      </c>
      <c r="AX41" s="192" t="str">
        <f>IF(COUNT($T$26:$T$27)&lt;2,"",SUM($U$26:$W$26))</f>
        <v/>
      </c>
      <c r="AY41" s="194" t="str">
        <f>IF(COUNT($T$26:$T$27)&lt;2,"",SUM($U$27:$W$27))</f>
        <v/>
      </c>
      <c r="AZ41" s="195" t="str">
        <f t="shared" si="2"/>
        <v/>
      </c>
    </row>
    <row r="42" spans="2:52" ht="15.75" hidden="1" customHeight="1" thickBot="1">
      <c r="B42" s="126"/>
      <c r="C42" s="317" t="str">
        <f>IF(R13="","2º do grupo C",R13)</f>
        <v>2º do grupo C</v>
      </c>
      <c r="D42" s="318"/>
      <c r="E42" s="69"/>
      <c r="F42" s="69"/>
      <c r="G42" s="70"/>
      <c r="H42" s="35" t="str">
        <f>IF(COUNT(E42:G42)&lt;1,"",IF(SUM(IF(E42&gt;E44,1,0),IF(F42&gt;F44,1,0),IF(G42&gt;G44,1,0))&gt;2,"??",SUM(IF(E42&gt;E44,1,0),IF(F42&gt;F44,1,0),IF(G42&gt;G44,1,0))))</f>
        <v/>
      </c>
      <c r="I42" s="36"/>
      <c r="J42" s="40"/>
      <c r="K42" s="59"/>
      <c r="L42" s="55"/>
      <c r="M42" s="42"/>
      <c r="N42" s="42"/>
      <c r="O42" s="42"/>
      <c r="P42" s="36"/>
      <c r="Q42" s="40"/>
      <c r="R42" s="55"/>
      <c r="S42" s="46"/>
      <c r="T42" s="55"/>
      <c r="U42" s="55"/>
      <c r="V42" s="60"/>
      <c r="W42" s="53"/>
      <c r="X42" s="48"/>
      <c r="Y42" s="53"/>
      <c r="Z42" s="53"/>
      <c r="AA42" s="53"/>
      <c r="AB42" s="53"/>
      <c r="AC42" s="53"/>
      <c r="AD42" s="54"/>
      <c r="AE42" s="113"/>
      <c r="AN42" s="196">
        <f>IF($Q26="","",$Q26)</f>
        <v>22</v>
      </c>
      <c r="AO42" s="175" t="str">
        <f t="shared" si="6"/>
        <v>Grupo C</v>
      </c>
      <c r="AP42" s="358" t="str">
        <f>IF($R$27="","",$R$27)</f>
        <v>Gonçalo Gomes (DSRLisboa)</v>
      </c>
      <c r="AQ42" s="359" t="str">
        <f t="shared" si="7"/>
        <v>Grupo A</v>
      </c>
      <c r="AR42" s="359" t="str">
        <f t="shared" si="7"/>
        <v>Grupo A</v>
      </c>
      <c r="AS42" s="360" t="str">
        <f t="shared" si="7"/>
        <v>Grupo A</v>
      </c>
      <c r="AT42" s="176" t="str">
        <f>IF(COUNT($T$26:$T$27)&lt;2,"",IF($T$26&lt;$T$27,"V",IF($T$26&gt;$T$27,"D","Empate??")))</f>
        <v/>
      </c>
      <c r="AU42" s="177" t="str">
        <f>IF(COUNT($T$26:$T$27)&lt;2,"",$T$27)</f>
        <v/>
      </c>
      <c r="AV42" s="178" t="str">
        <f>IF(COUNT($T$26:$T$27)&lt;2,"",$T$26)</f>
        <v/>
      </c>
      <c r="AW42" s="179" t="str">
        <f t="shared" si="3"/>
        <v/>
      </c>
      <c r="AX42" s="178" t="str">
        <f>IF(COUNT($T$26:$T$27)&lt;2,"",SUM($U$27:$W$27))</f>
        <v/>
      </c>
      <c r="AY42" s="180" t="str">
        <f>IF(COUNT($T$26:$T$27)&lt;2,"",SUM($U$26:$W$26))</f>
        <v/>
      </c>
      <c r="AZ42" s="181" t="str">
        <f t="shared" si="2"/>
        <v/>
      </c>
    </row>
    <row r="43" spans="2:52" ht="15.75" hidden="1" customHeight="1">
      <c r="B43" s="126"/>
      <c r="C43" s="68"/>
      <c r="D43" s="37"/>
      <c r="E43" s="55"/>
      <c r="F43" s="42"/>
      <c r="G43" s="44"/>
      <c r="H43" s="63">
        <v>28</v>
      </c>
      <c r="I43" s="322" t="str">
        <f>IF(OR(H42="",H44="")=TRUE,"2ª Meia Final-Jogador2",IF(H42&gt;H44,C42,C44))</f>
        <v>2ª Meia Final-Jogador2</v>
      </c>
      <c r="J43" s="317"/>
      <c r="K43" s="318"/>
      <c r="L43" s="69"/>
      <c r="M43" s="69"/>
      <c r="N43" s="70"/>
      <c r="O43" s="35" t="str">
        <f>IF(COUNT(L43:N43)&lt;1,"",IF(SUM(IF(L39&lt;L43,1,0),IF(M39&lt;M43,1,0),IF(N39&lt;N43,1,0))&gt;2,"??",SUM(IF(L39&lt;L43,1,0),IF(M39&lt;M43,1,0),IF(N39&lt;N43,1,0))))</f>
        <v/>
      </c>
      <c r="P43" s="36"/>
      <c r="Q43" s="40"/>
      <c r="R43" s="55"/>
      <c r="S43" s="55"/>
      <c r="T43" s="55"/>
      <c r="U43" s="55"/>
      <c r="V43" s="55"/>
      <c r="W43" s="54"/>
      <c r="X43" s="68"/>
      <c r="Y43" s="54"/>
      <c r="Z43" s="54"/>
      <c r="AA43" s="54"/>
      <c r="AB43" s="54"/>
      <c r="AC43" s="54"/>
      <c r="AD43" s="54"/>
      <c r="AE43" s="113"/>
      <c r="AN43" s="197">
        <f>IF($X16="","",$X16)</f>
        <v>7</v>
      </c>
      <c r="AO43" s="198" t="str">
        <f>IF($X$5="","",$X$5)</f>
        <v>Grupo D</v>
      </c>
      <c r="AP43" s="361" t="str">
        <f>IF($Y$16="","",$Y$16)</f>
        <v>David Duarte (DSRAlgarve)</v>
      </c>
      <c r="AQ43" s="362" t="str">
        <f t="shared" si="7"/>
        <v>Grupo A</v>
      </c>
      <c r="AR43" s="362" t="str">
        <f t="shared" si="7"/>
        <v>Grupo A</v>
      </c>
      <c r="AS43" s="363" t="str">
        <f t="shared" si="7"/>
        <v>Grupo A</v>
      </c>
      <c r="AT43" s="199" t="str">
        <f>IF(COUNT($AA$16:$AA$17)&lt;2,"",IF($AA$16&gt;$AA$17,"V",IF($AA$16&lt;$AA$17,"D","Empate??")))</f>
        <v/>
      </c>
      <c r="AU43" s="200" t="str">
        <f>IF(COUNT($AA$16:$AA$17)&lt;2,"",$AA$16)</f>
        <v/>
      </c>
      <c r="AV43" s="201" t="str">
        <f>IF(COUNT($AA$16:$AA$17)&lt;2,"",$AA$17)</f>
        <v/>
      </c>
      <c r="AW43" s="202" t="str">
        <f t="shared" si="3"/>
        <v/>
      </c>
      <c r="AX43" s="201" t="str">
        <f>IF(COUNT($AA$16:$AA$17)&lt;2,"",SUM($AB$16:$AD$16))</f>
        <v/>
      </c>
      <c r="AY43" s="203" t="str">
        <f>IF(COUNT($AA$16:$AA$17)&lt;2,"",SUM($AB$17:$AD$17))</f>
        <v/>
      </c>
      <c r="AZ43" s="204" t="str">
        <f t="shared" si="2"/>
        <v/>
      </c>
    </row>
    <row r="44" spans="2:52" ht="15.75" hidden="1" customHeight="1">
      <c r="B44" s="126"/>
      <c r="C44" s="317" t="str">
        <f>IF(Y12="","1º do grupo D",Y12)</f>
        <v>1º do grupo D</v>
      </c>
      <c r="D44" s="318"/>
      <c r="E44" s="69"/>
      <c r="F44" s="69"/>
      <c r="G44" s="70"/>
      <c r="H44" s="35" t="str">
        <f>IF(COUNT(E44:G44)&lt;1,"",IF(SUM(IF(E42&lt;E44,1,0),IF(F42&lt;F44,1,0),IF(G42&lt;G44,1,0))&gt;2,"??",SUM(IF(E42&lt;E44,1,0),IF(F42&lt;F44,1,0),IF(G42&lt;G44,1,0))))</f>
        <v/>
      </c>
      <c r="I44" s="36"/>
      <c r="J44" s="40"/>
      <c r="K44" s="55"/>
      <c r="L44" s="46"/>
      <c r="M44" s="55"/>
      <c r="N44" s="55"/>
      <c r="O44" s="55"/>
      <c r="P44" s="55"/>
      <c r="Q44" s="40"/>
      <c r="R44" s="55"/>
      <c r="S44" s="55"/>
      <c r="T44" s="55"/>
      <c r="U44" s="55"/>
      <c r="V44" s="55"/>
      <c r="W44" s="54"/>
      <c r="X44" s="68"/>
      <c r="Y44" s="54"/>
      <c r="Z44" s="54"/>
      <c r="AA44" s="54"/>
      <c r="AB44" s="54"/>
      <c r="AC44" s="54"/>
      <c r="AD44" s="54"/>
      <c r="AE44" s="113"/>
      <c r="AN44" s="205">
        <f>IF($X16="","",$X16)</f>
        <v>7</v>
      </c>
      <c r="AO44" s="206" t="str">
        <f t="shared" ref="AO44:AO54" si="8">IF($X$5="","",$X$5)</f>
        <v>Grupo D</v>
      </c>
      <c r="AP44" s="346" t="str">
        <f>IF($Y$17="","",$Y$17)</f>
        <v/>
      </c>
      <c r="AQ44" s="347" t="str">
        <f t="shared" si="7"/>
        <v>Grupo A</v>
      </c>
      <c r="AR44" s="347" t="str">
        <f t="shared" si="7"/>
        <v>Grupo A</v>
      </c>
      <c r="AS44" s="348" t="str">
        <f t="shared" si="7"/>
        <v>Grupo A</v>
      </c>
      <c r="AT44" s="207" t="str">
        <f>IF(COUNT($AA$16:$AA$17)&lt;2,"",IF($AA$16&lt;$AA$17,"V",IF($AA$16&gt;$AA$17,"D","Empate??")))</f>
        <v/>
      </c>
      <c r="AU44" s="208" t="str">
        <f>IF(COUNT($AA$16:$AA$17)&lt;2,"",$AA$17)</f>
        <v/>
      </c>
      <c r="AV44" s="209" t="str">
        <f>IF(COUNT($AA$16:$AA$17)&lt;2,"",$AA$16)</f>
        <v/>
      </c>
      <c r="AW44" s="210" t="str">
        <f t="shared" si="3"/>
        <v/>
      </c>
      <c r="AX44" s="209" t="str">
        <f>IF(COUNT($AA$16:$AA$17)&lt;2,"",SUM($AB$17:$AD$17))</f>
        <v/>
      </c>
      <c r="AY44" s="211" t="str">
        <f>IF(COUNT($AA$16:$AA$17)&lt;2,"",SUM($AB$16:$AD$16))</f>
        <v/>
      </c>
      <c r="AZ44" s="212" t="str">
        <f t="shared" si="2"/>
        <v/>
      </c>
    </row>
    <row r="45" spans="2:52" ht="11.25" hidden="1" customHeight="1">
      <c r="B45" s="128"/>
      <c r="C45" s="123"/>
      <c r="D45" s="129"/>
      <c r="E45" s="122"/>
      <c r="F45" s="122"/>
      <c r="G45" s="122"/>
      <c r="H45" s="122"/>
      <c r="I45" s="122"/>
      <c r="J45" s="123"/>
      <c r="K45" s="122"/>
      <c r="L45" s="122"/>
      <c r="M45" s="122"/>
      <c r="N45" s="122"/>
      <c r="O45" s="122"/>
      <c r="P45" s="122"/>
      <c r="Q45" s="123"/>
      <c r="R45" s="122"/>
      <c r="S45" s="122"/>
      <c r="T45" s="122"/>
      <c r="U45" s="122"/>
      <c r="V45" s="122"/>
      <c r="W45" s="122"/>
      <c r="X45" s="123"/>
      <c r="Y45" s="122"/>
      <c r="Z45" s="122"/>
      <c r="AA45" s="122"/>
      <c r="AB45" s="122"/>
      <c r="AC45" s="122"/>
      <c r="AD45" s="122"/>
      <c r="AE45" s="124"/>
      <c r="AN45" s="213">
        <f>IF($X18="","",$X18)</f>
        <v>8</v>
      </c>
      <c r="AO45" s="214" t="str">
        <f t="shared" si="8"/>
        <v>Grupo D</v>
      </c>
      <c r="AP45" s="349" t="str">
        <f>IF($Y$18="","",$Y$18)</f>
        <v>Rodrigo Ribeiro (DSRLisboa)</v>
      </c>
      <c r="AQ45" s="350" t="str">
        <f t="shared" si="7"/>
        <v>Grupo A</v>
      </c>
      <c r="AR45" s="350" t="str">
        <f t="shared" si="7"/>
        <v>Grupo A</v>
      </c>
      <c r="AS45" s="351" t="str">
        <f t="shared" si="7"/>
        <v>Grupo A</v>
      </c>
      <c r="AT45" s="215" t="str">
        <f>IF(COUNT($AA$18:$AA$19)&lt;2,"",IF($AA$18&gt;$AA$19,"V",IF($AA$18&lt;$AA$19,"D","Empate??")))</f>
        <v/>
      </c>
      <c r="AU45" s="216" t="str">
        <f>IF(COUNT($AA$18:$AA$19)&lt;2,"",$AA$18)</f>
        <v/>
      </c>
      <c r="AV45" s="217" t="str">
        <f>IF(COUNT($AA$18:$AA$19)&lt;2,"",$AA$19)</f>
        <v/>
      </c>
      <c r="AW45" s="218" t="str">
        <f t="shared" si="3"/>
        <v/>
      </c>
      <c r="AX45" s="217" t="str">
        <f>IF(COUNT($AA$18:$AA$19)&lt;2,"",SUM($AB$18:$AD$18))</f>
        <v/>
      </c>
      <c r="AY45" s="219" t="str">
        <f>IF(COUNT($AA$18:$AA$19)&lt;2,"",SUM($AB$19:$AD$19))</f>
        <v/>
      </c>
      <c r="AZ45" s="220" t="str">
        <f t="shared" si="2"/>
        <v/>
      </c>
    </row>
    <row r="46" spans="2:52" ht="4.5" hidden="1" customHeight="1">
      <c r="AN46" s="205">
        <f>IF($X18="","",$X18)</f>
        <v>8</v>
      </c>
      <c r="AO46" s="206" t="str">
        <f t="shared" si="8"/>
        <v>Grupo D</v>
      </c>
      <c r="AP46" s="346" t="str">
        <f>IF($Y$19="","",$Y$19)</f>
        <v>Helder Ribeiro (DSRNorte)</v>
      </c>
      <c r="AQ46" s="347" t="str">
        <f t="shared" si="7"/>
        <v>Grupo A</v>
      </c>
      <c r="AR46" s="347" t="str">
        <f t="shared" si="7"/>
        <v>Grupo A</v>
      </c>
      <c r="AS46" s="348" t="str">
        <f t="shared" si="7"/>
        <v>Grupo A</v>
      </c>
      <c r="AT46" s="207" t="str">
        <f>IF(COUNT($AA$18:$AA$19)&lt;2,"",IF($AA$18&lt;$AA$19,"V",IF($AA$18&gt;$AA$19,"D","Empate??")))</f>
        <v/>
      </c>
      <c r="AU46" s="208" t="str">
        <f>IF(COUNT($AA$18:$AA$19)&lt;2,"",$AA$19)</f>
        <v/>
      </c>
      <c r="AV46" s="209" t="str">
        <f>IF(COUNT($AA$18:$AA$19)&lt;2,"",$AA$18)</f>
        <v/>
      </c>
      <c r="AW46" s="210" t="str">
        <f t="shared" si="3"/>
        <v/>
      </c>
      <c r="AX46" s="209" t="str">
        <f>IF(COUNT($AA$18:$AA$19)&lt;2,"",SUM($AB$19:$AD$19))</f>
        <v/>
      </c>
      <c r="AY46" s="211" t="str">
        <f>IF(COUNT($AA$18:$AA$19)&lt;2,"",SUM($AB$18:$AD$18))</f>
        <v/>
      </c>
      <c r="AZ46" s="212" t="str">
        <f t="shared" si="2"/>
        <v/>
      </c>
    </row>
    <row r="47" spans="2:52" hidden="1">
      <c r="D47" s="54"/>
      <c r="H47" s="125"/>
      <c r="I47" s="61"/>
      <c r="J47" s="167"/>
      <c r="K47" s="61"/>
      <c r="L47" s="61"/>
      <c r="M47" s="61"/>
      <c r="N47" s="61"/>
      <c r="O47" s="61"/>
      <c r="P47" s="61"/>
      <c r="Q47" s="167"/>
      <c r="R47" s="61"/>
      <c r="S47" s="61"/>
      <c r="T47" s="61"/>
      <c r="U47" s="61"/>
      <c r="V47" s="61"/>
      <c r="W47" s="61"/>
      <c r="X47" s="167"/>
      <c r="Y47" s="61"/>
      <c r="Z47" s="61"/>
      <c r="AA47" s="61"/>
      <c r="AB47" s="61"/>
      <c r="AC47" s="61"/>
      <c r="AD47" s="61"/>
      <c r="AE47" s="3"/>
      <c r="AN47" s="221">
        <f>IF($X20="","",$X20)</f>
        <v>15</v>
      </c>
      <c r="AO47" s="222" t="str">
        <f t="shared" si="8"/>
        <v>Grupo D</v>
      </c>
      <c r="AP47" s="349" t="str">
        <f>IF($Y$20="","",$Y$20)</f>
        <v/>
      </c>
      <c r="AQ47" s="350" t="str">
        <f t="shared" si="7"/>
        <v>Grupo A</v>
      </c>
      <c r="AR47" s="350" t="str">
        <f t="shared" si="7"/>
        <v>Grupo A</v>
      </c>
      <c r="AS47" s="351" t="str">
        <f t="shared" si="7"/>
        <v>Grupo A</v>
      </c>
      <c r="AT47" s="223" t="str">
        <f>IF(COUNT($AA$20:$AA$21)&lt;2,"",IF($AA$20&gt;$AA$21,"V",IF($AA$20&lt;$AA$21,"D","Empate??")))</f>
        <v/>
      </c>
      <c r="AU47" s="224" t="str">
        <f>IF(COUNT($AA$20:$AA$21)&lt;2,"",$AA$20)</f>
        <v/>
      </c>
      <c r="AV47" s="225" t="str">
        <f>IF(COUNT($AA$20:$AA$21)&lt;2,"",$AA$21)</f>
        <v/>
      </c>
      <c r="AW47" s="226" t="str">
        <f t="shared" si="3"/>
        <v/>
      </c>
      <c r="AX47" s="225" t="str">
        <f>IF(COUNT($AA$20:$AA$21)&lt;2,"",SUM($AB$20:$AD$20))</f>
        <v/>
      </c>
      <c r="AY47" s="227" t="str">
        <f>IF(COUNT($AA$20:$AA$21)&lt;2,"",SUM($AB$21:$AD$21))</f>
        <v/>
      </c>
      <c r="AZ47" s="228" t="str">
        <f t="shared" si="2"/>
        <v/>
      </c>
    </row>
    <row r="48" spans="2:52" hidden="1">
      <c r="D48" s="54"/>
      <c r="H48" s="126"/>
      <c r="I48" s="336" t="s">
        <v>49</v>
      </c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68"/>
      <c r="Y48" s="337" t="s">
        <v>0</v>
      </c>
      <c r="Z48" s="338"/>
      <c r="AA48" s="338"/>
      <c r="AB48" s="338"/>
      <c r="AC48" s="338"/>
      <c r="AD48" s="339"/>
      <c r="AE48" s="113"/>
      <c r="AN48" s="205">
        <f>IF($X20="","",$X20)</f>
        <v>15</v>
      </c>
      <c r="AO48" s="206" t="str">
        <f t="shared" si="8"/>
        <v>Grupo D</v>
      </c>
      <c r="AP48" s="346" t="str">
        <f>IF($Y$21="","",$Y$21)</f>
        <v>Helder Ribeiro (DSRNorte)</v>
      </c>
      <c r="AQ48" s="347" t="str">
        <f t="shared" si="7"/>
        <v>Grupo A</v>
      </c>
      <c r="AR48" s="347" t="str">
        <f t="shared" si="7"/>
        <v>Grupo A</v>
      </c>
      <c r="AS48" s="348" t="str">
        <f t="shared" si="7"/>
        <v>Grupo A</v>
      </c>
      <c r="AT48" s="207" t="str">
        <f>IF(COUNT($AA$20:$AA$21)&lt;2,"",IF($AA$20&lt;$AA$21,"V",IF($AA$20&gt;$AA$21,"D","Empate??")))</f>
        <v/>
      </c>
      <c r="AU48" s="208" t="str">
        <f>IF(COUNT($AA$20:$AA$21)&lt;2,"",$AA$21)</f>
        <v/>
      </c>
      <c r="AV48" s="209" t="str">
        <f>IF(COUNT($AA$20:$AA$21)&lt;2,"",$AA$20)</f>
        <v/>
      </c>
      <c r="AW48" s="210" t="str">
        <f t="shared" si="3"/>
        <v/>
      </c>
      <c r="AX48" s="209" t="str">
        <f>IF(COUNT($AA$20:$AA$21)&lt;2,"",SUM($AB$21:$AD$21))</f>
        <v/>
      </c>
      <c r="AY48" s="211" t="str">
        <f>IF(COUNT($AA$20:$AA$21)&lt;2,"",SUM($AB$20:$AD$20))</f>
        <v/>
      </c>
      <c r="AZ48" s="212" t="str">
        <f t="shared" si="2"/>
        <v/>
      </c>
    </row>
    <row r="49" spans="2:54" ht="13.5" hidden="1" thickBot="1">
      <c r="B49" s="357"/>
      <c r="C49" s="357"/>
      <c r="D49" s="357"/>
      <c r="E49" s="258"/>
      <c r="H49" s="12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68"/>
      <c r="Y49" s="340"/>
      <c r="Z49" s="341"/>
      <c r="AA49" s="341"/>
      <c r="AB49" s="341"/>
      <c r="AC49" s="341"/>
      <c r="AD49" s="342"/>
      <c r="AE49" s="113"/>
      <c r="AN49" s="221">
        <f>IF($X22="","",$X22)</f>
        <v>16</v>
      </c>
      <c r="AO49" s="222" t="str">
        <f t="shared" si="8"/>
        <v>Grupo D</v>
      </c>
      <c r="AP49" s="349" t="str">
        <f>IF($Y$22="","",$Y$22)</f>
        <v>David Duarte (DSRAlgarve)</v>
      </c>
      <c r="AQ49" s="350" t="str">
        <f t="shared" si="7"/>
        <v>Grupo A</v>
      </c>
      <c r="AR49" s="350" t="str">
        <f t="shared" si="7"/>
        <v>Grupo A</v>
      </c>
      <c r="AS49" s="351" t="str">
        <f t="shared" si="7"/>
        <v>Grupo A</v>
      </c>
      <c r="AT49" s="223" t="str">
        <f>IF(COUNT($AA$22:$AA$23)&lt;2,"",IF($AA$22&gt;$AA$23,"V",IF($AA$22&lt;$AA$23,"D","Empate??")))</f>
        <v/>
      </c>
      <c r="AU49" s="224" t="str">
        <f>IF(COUNT($AA$22:$AA$23)&lt;2,"",$AA$22)</f>
        <v/>
      </c>
      <c r="AV49" s="225" t="str">
        <f>IF(COUNT($AA$22:$AA$23)&lt;2,"",$AA$23)</f>
        <v/>
      </c>
      <c r="AW49" s="226" t="str">
        <f t="shared" si="3"/>
        <v/>
      </c>
      <c r="AX49" s="225" t="str">
        <f>IF(COUNT($AA$22:$AA$23)&lt;2,"",SUM($AB$22:$AD$22))</f>
        <v/>
      </c>
      <c r="AY49" s="227" t="str">
        <f>IF(COUNT($AA$22:$AA$23)&lt;2,"",SUM($AB$23:$AD$23))</f>
        <v/>
      </c>
      <c r="AZ49" s="228" t="str">
        <f t="shared" si="2"/>
        <v/>
      </c>
    </row>
    <row r="50" spans="2:54" ht="15.75" hidden="1">
      <c r="H50" s="126"/>
      <c r="I50" s="317" t="str">
        <f>IF(I31="1ª Meia Final-Jogador1",CONCATENATE("Vencido do jogo ",H31),IF(I31=C30,C32,C30))</f>
        <v>Vencido do jogo 25</v>
      </c>
      <c r="J50" s="317"/>
      <c r="K50" s="318"/>
      <c r="L50" s="69"/>
      <c r="M50" s="69"/>
      <c r="N50" s="70"/>
      <c r="O50" s="38" t="str">
        <f>IF(COUNT(L50:N50)&lt;1,"",IF(SUM(IF(L50&gt;L54,1,0),IF(M50&gt;M54,1,0),IF(N50&gt;N54,1,0))&gt;2,"??",SUM(IF(L50&gt;L54,1,0),IF(M50&gt;M54,1,0),IF(N50&gt;N54,1,0))))</f>
        <v/>
      </c>
      <c r="P50" s="55"/>
      <c r="Q50" s="40"/>
      <c r="R50" s="55"/>
      <c r="S50" s="55"/>
      <c r="T50" s="55"/>
      <c r="U50" s="55"/>
      <c r="V50" s="55"/>
      <c r="W50" s="54"/>
      <c r="X50" s="68"/>
      <c r="Y50" s="343" t="str">
        <f>IF(X56="5º Classificado","",X56)</f>
        <v/>
      </c>
      <c r="Z50" s="344"/>
      <c r="AA50" s="344"/>
      <c r="AB50" s="344"/>
      <c r="AC50" s="344"/>
      <c r="AD50" s="39" t="s">
        <v>37</v>
      </c>
      <c r="AE50" s="113"/>
      <c r="AN50" s="205">
        <f>IF($X22="","",$X22)</f>
        <v>16</v>
      </c>
      <c r="AO50" s="206" t="str">
        <f t="shared" si="8"/>
        <v>Grupo D</v>
      </c>
      <c r="AP50" s="346" t="str">
        <f>IF($Y$23="","",$Y$23)</f>
        <v>Rodrigo Ribeiro (DSRLisboa)</v>
      </c>
      <c r="AQ50" s="347" t="str">
        <f t="shared" si="7"/>
        <v>Grupo A</v>
      </c>
      <c r="AR50" s="347" t="str">
        <f t="shared" si="7"/>
        <v>Grupo A</v>
      </c>
      <c r="AS50" s="348" t="str">
        <f t="shared" si="7"/>
        <v>Grupo A</v>
      </c>
      <c r="AT50" s="207" t="str">
        <f>IF(COUNT($AA$22:$AA$23)&lt;2,"",IF($AA$22&lt;$AA$23,"V",IF($AA$22&gt;$AA$23,"D","Empate??")))</f>
        <v/>
      </c>
      <c r="AU50" s="208" t="str">
        <f>IF(COUNT($AA$22:$AA$23)&lt;2,"",$AA$23)</f>
        <v/>
      </c>
      <c r="AV50" s="209" t="str">
        <f>IF(COUNT($AA$22:$AA$23)&lt;2,"",$AA$22)</f>
        <v/>
      </c>
      <c r="AW50" s="210" t="str">
        <f t="shared" si="3"/>
        <v/>
      </c>
      <c r="AX50" s="209" t="str">
        <f>IF(COUNT($AA$22:$AA$23)&lt;2,"",SUM($AB$23:$AD$23))</f>
        <v/>
      </c>
      <c r="AY50" s="211" t="str">
        <f>IF(COUNT($AA$22:$AA$23)&lt;2,"",SUM($AB$22:$AD$22))</f>
        <v/>
      </c>
      <c r="AZ50" s="212" t="str">
        <f t="shared" si="2"/>
        <v/>
      </c>
    </row>
    <row r="51" spans="2:54" ht="15" hidden="1" customHeight="1">
      <c r="H51" s="126"/>
      <c r="I51" s="55"/>
      <c r="J51" s="40"/>
      <c r="K51" s="59"/>
      <c r="L51" s="55"/>
      <c r="M51" s="41"/>
      <c r="N51" s="41"/>
      <c r="O51" s="42"/>
      <c r="P51" s="36"/>
      <c r="Q51" s="40"/>
      <c r="R51" s="55"/>
      <c r="S51" s="55"/>
      <c r="T51" s="55"/>
      <c r="U51" s="55"/>
      <c r="V51" s="60"/>
      <c r="W51" s="53"/>
      <c r="X51" s="48"/>
      <c r="Y51" s="332" t="str">
        <f>IF(Y50="","",IF(Y50=P52,P60,P52))</f>
        <v/>
      </c>
      <c r="Z51" s="333" t="e">
        <f>IF(#REF!="","",IF(#REF!=W51,"","(2º) "))</f>
        <v>#REF!</v>
      </c>
      <c r="AA51" s="333" t="e">
        <f>IF(#REF!="","",IF(#REF!=X51,"","(2º) "))</f>
        <v>#REF!</v>
      </c>
      <c r="AB51" s="333" t="e">
        <f>IF(#REF!="","",IF(#REF!=Y51,"","(2º) "))</f>
        <v>#REF!</v>
      </c>
      <c r="AC51" s="333" t="e">
        <f>IF(#REF!="","",IF(#REF!=Z51,"","(2º) "))</f>
        <v>#REF!</v>
      </c>
      <c r="AD51" s="43" t="s">
        <v>38</v>
      </c>
      <c r="AE51" s="113"/>
      <c r="AN51" s="221">
        <f>IF($X24="","",$X24)</f>
        <v>23</v>
      </c>
      <c r="AO51" s="222" t="str">
        <f t="shared" si="8"/>
        <v>Grupo D</v>
      </c>
      <c r="AP51" s="349" t="str">
        <f>IF($Y$24="","",$Y$24)</f>
        <v>Rodrigo Ribeiro (DSRLisboa)</v>
      </c>
      <c r="AQ51" s="350" t="str">
        <f t="shared" si="7"/>
        <v>Grupo A</v>
      </c>
      <c r="AR51" s="350" t="str">
        <f t="shared" si="7"/>
        <v>Grupo A</v>
      </c>
      <c r="AS51" s="351" t="str">
        <f t="shared" si="7"/>
        <v>Grupo A</v>
      </c>
      <c r="AT51" s="223" t="str">
        <f>IF(COUNT($AA$24:$AA$25)&lt;2,"",IF($AA$24&gt;$AA$25,"V",IF($AA$24&lt;$AA$25,"D","Empate??")))</f>
        <v/>
      </c>
      <c r="AU51" s="224" t="str">
        <f>IF(COUNT($AA$24:$AA$25)&lt;2,"",$AA$24)</f>
        <v/>
      </c>
      <c r="AV51" s="225" t="str">
        <f>IF(COUNT($AA$24:$AA$25)&lt;2,"",$AA$25)</f>
        <v/>
      </c>
      <c r="AW51" s="226" t="str">
        <f t="shared" si="3"/>
        <v/>
      </c>
      <c r="AX51" s="225" t="str">
        <f>IF(COUNT($AA$24:$AA$25)&lt;2,"",SUM($AB$24:$AD$24))</f>
        <v/>
      </c>
      <c r="AY51" s="227" t="str">
        <f>IF(COUNT($AA$24:$AA$25)&lt;2,"",SUM($AB$25:$AD$25))</f>
        <v/>
      </c>
      <c r="AZ51" s="228" t="str">
        <f t="shared" si="2"/>
        <v/>
      </c>
    </row>
    <row r="52" spans="2:54" ht="15" hidden="1" customHeight="1">
      <c r="H52" s="126"/>
      <c r="I52" s="55"/>
      <c r="J52" s="40"/>
      <c r="K52" s="59"/>
      <c r="L52" s="55"/>
      <c r="M52" s="42"/>
      <c r="N52" s="42"/>
      <c r="O52" s="64">
        <v>33</v>
      </c>
      <c r="P52" s="322" t="str">
        <f>IF(OR(O50="",O54="")=TRUE,"Disputa 5º/6º Jogador1",IF(O50&gt;O54,I50,I54))</f>
        <v>Disputa 5º/6º Jogador1</v>
      </c>
      <c r="Q52" s="317"/>
      <c r="R52" s="317"/>
      <c r="S52" s="318"/>
      <c r="T52" s="69"/>
      <c r="U52" s="69"/>
      <c r="V52" s="69"/>
      <c r="W52" s="45" t="str">
        <f>IF(COUNT(T52:V52)&lt;1,"",IF(SUM(IF(T52&gt;T60,1,0),IF(U52&gt;U60,1,0),IF(V52&gt;V60,1,0))&gt;2,"??",SUM(IF(T52&gt;T60,1,0),IF(U52&gt;U60,1,0),IF(V52&gt;V60,1,0))))</f>
        <v/>
      </c>
      <c r="X52" s="48"/>
      <c r="Y52" s="332" t="str">
        <f>IF(P56="7º Classificado","",P56)</f>
        <v/>
      </c>
      <c r="Z52" s="333"/>
      <c r="AA52" s="333"/>
      <c r="AB52" s="333"/>
      <c r="AC52" s="333"/>
      <c r="AD52" s="43" t="s">
        <v>39</v>
      </c>
      <c r="AE52" s="113"/>
      <c r="AN52" s="205">
        <f>IF($X24="","",$X24)</f>
        <v>23</v>
      </c>
      <c r="AO52" s="206" t="str">
        <f t="shared" si="8"/>
        <v>Grupo D</v>
      </c>
      <c r="AP52" s="346" t="str">
        <f>IF($Y$25="","",$Y$25)</f>
        <v/>
      </c>
      <c r="AQ52" s="347" t="str">
        <f t="shared" si="7"/>
        <v>Grupo A</v>
      </c>
      <c r="AR52" s="347" t="str">
        <f t="shared" si="7"/>
        <v>Grupo A</v>
      </c>
      <c r="AS52" s="348" t="str">
        <f t="shared" si="7"/>
        <v>Grupo A</v>
      </c>
      <c r="AT52" s="207" t="str">
        <f>IF(COUNT($AA$24:$AA$25)&lt;2,"",IF($AA$24&lt;$AA$25,"V",IF($AA$24&gt;$AA$25,"D","Empate??")))</f>
        <v/>
      </c>
      <c r="AU52" s="208" t="str">
        <f>IF(COUNT($AA$24:$AA$25)&lt;2,"",$AA$25)</f>
        <v/>
      </c>
      <c r="AV52" s="209" t="str">
        <f>IF(COUNT($AA$24:$AA$25)&lt;2,"",$AA$24)</f>
        <v/>
      </c>
      <c r="AW52" s="210" t="str">
        <f t="shared" si="3"/>
        <v/>
      </c>
      <c r="AX52" s="209" t="str">
        <f>IF(COUNT($AA$24:$AA$25)&lt;2,"",SUM($AB$25:$AD$25))</f>
        <v/>
      </c>
      <c r="AY52" s="211" t="str">
        <f>IF(COUNT($AA$24:$AA$25)&lt;2,"",SUM($AB$24:$AD$24))</f>
        <v/>
      </c>
      <c r="AZ52" s="212" t="str">
        <f t="shared" si="2"/>
        <v/>
      </c>
    </row>
    <row r="53" spans="2:54" ht="15.75" hidden="1" thickBot="1">
      <c r="H53" s="126"/>
      <c r="I53" s="55"/>
      <c r="J53" s="40"/>
      <c r="K53" s="59"/>
      <c r="L53" s="55"/>
      <c r="M53" s="42"/>
      <c r="N53" s="42"/>
      <c r="O53" s="42"/>
      <c r="P53" s="36"/>
      <c r="Q53" s="40"/>
      <c r="R53" s="55"/>
      <c r="S53" s="46"/>
      <c r="T53" s="42"/>
      <c r="U53" s="42"/>
      <c r="V53" s="67"/>
      <c r="W53" s="47"/>
      <c r="X53" s="48"/>
      <c r="Y53" s="334" t="str">
        <f>IF(Y52="","",IF(Y52=P54,P58,P54))</f>
        <v/>
      </c>
      <c r="Z53" s="335" t="e">
        <f>IF(#REF!="","",IF(#REF!=W53,"","(2º) "))</f>
        <v>#REF!</v>
      </c>
      <c r="AA53" s="335" t="e">
        <f>IF(#REF!="","",IF(#REF!=X53,"","(2º) "))</f>
        <v>#REF!</v>
      </c>
      <c r="AB53" s="335" t="e">
        <f>IF(#REF!="","",IF(#REF!=Y53,"","(2º) "))</f>
        <v>#REF!</v>
      </c>
      <c r="AC53" s="335" t="e">
        <f>IF(#REF!="","",IF(#REF!=Z53,"","(2º) "))</f>
        <v>#REF!</v>
      </c>
      <c r="AD53" s="164" t="s">
        <v>40</v>
      </c>
      <c r="AE53" s="113"/>
      <c r="AN53" s="221">
        <f>IF($X26="","",$X26)</f>
        <v>24</v>
      </c>
      <c r="AO53" s="222" t="str">
        <f t="shared" si="8"/>
        <v>Grupo D</v>
      </c>
      <c r="AP53" s="349" t="str">
        <f>IF($Y$26="","",$Y$26)</f>
        <v>Helder Ribeiro (DSRNorte)</v>
      </c>
      <c r="AQ53" s="350" t="str">
        <f t="shared" si="7"/>
        <v>Grupo A</v>
      </c>
      <c r="AR53" s="350" t="str">
        <f t="shared" si="7"/>
        <v>Grupo A</v>
      </c>
      <c r="AS53" s="351" t="str">
        <f t="shared" si="7"/>
        <v>Grupo A</v>
      </c>
      <c r="AT53" s="223" t="str">
        <f>IF(COUNT($AA$26:$AA$27)&lt;2,"",IF($AA$26&gt;$AA$27,"V",IF($AA$26&lt;$AA$27,"D","Empate??")))</f>
        <v/>
      </c>
      <c r="AU53" s="224" t="str">
        <f>IF(COUNT($AA$26:$AA$27)&lt;2,"",$AA$26)</f>
        <v/>
      </c>
      <c r="AV53" s="225" t="str">
        <f>IF(COUNT($AA$26:$AA$27)&lt;2,"",$AA$27)</f>
        <v/>
      </c>
      <c r="AW53" s="226" t="str">
        <f t="shared" si="3"/>
        <v/>
      </c>
      <c r="AX53" s="225" t="str">
        <f>IF(COUNT($AA$26:$AA$27)&lt;2,"",SUM($AB$26:$AD$26))</f>
        <v/>
      </c>
      <c r="AY53" s="227" t="str">
        <f>IF(COUNT($AA$26:$AA$27)&lt;2,"",SUM($AB$27:$AD$27))</f>
        <v/>
      </c>
      <c r="AZ53" s="228" t="str">
        <f t="shared" si="2"/>
        <v/>
      </c>
    </row>
    <row r="54" spans="2:54" ht="15.75" hidden="1" thickBot="1">
      <c r="H54" s="126"/>
      <c r="I54" s="317" t="str">
        <f>IF(I35="1ª Meia Final-Jogador2",CONCATENATE("Vencido do jogo ",H35),IF(I35=C34,C36,C34))</f>
        <v>Vencido do jogo 26</v>
      </c>
      <c r="J54" s="317"/>
      <c r="K54" s="318"/>
      <c r="L54" s="69"/>
      <c r="M54" s="69"/>
      <c r="N54" s="70"/>
      <c r="O54" s="38" t="str">
        <f>IF(COUNT(L54:N54)&lt;1,"",IF(SUM(IF(L50&lt;L54,1,0),IF(M50&lt;M54,1,0),IF(N50&lt;N54,1,0))&gt;2,"??",SUM(IF(L50&lt;L54,1,0),IF(M50&lt;M54,1,0),IF(N50&lt;N54,1,0))))</f>
        <v/>
      </c>
      <c r="P54" s="319" t="str">
        <f>IF(P52="Disputa 5º/6º Jogador1","Disputa 7º/8º  Jogador1",IF(P52=I50,I54,I50))</f>
        <v>Disputa 7º/8º  Jogador1</v>
      </c>
      <c r="Q54" s="352"/>
      <c r="R54" s="353"/>
      <c r="S54" s="69"/>
      <c r="T54" s="69"/>
      <c r="U54" s="69"/>
      <c r="V54" s="49" t="str">
        <f>IF(COUNT(S54:U54)&lt;1,"",IF(SUM(IF(S54&gt;S58,1,0),IF(T54&gt;T58,1,0),IF(U54&gt;U58,1,0))&gt;2,"??",SUM(IF(S54&gt;S58,1,0),IF(T54&gt;T58,1,0),IF(U54&gt;U58,1,0))))</f>
        <v/>
      </c>
      <c r="W54" s="50"/>
      <c r="X54" s="48"/>
      <c r="Y54" s="53"/>
      <c r="Z54" s="53"/>
      <c r="AA54" s="53"/>
      <c r="AB54" s="53"/>
      <c r="AC54" s="53"/>
      <c r="AD54" s="54"/>
      <c r="AE54" s="113"/>
      <c r="AN54" s="229">
        <f>IF($X26="","",$X26)</f>
        <v>24</v>
      </c>
      <c r="AO54" s="230" t="str">
        <f t="shared" si="8"/>
        <v>Grupo D</v>
      </c>
      <c r="AP54" s="354" t="str">
        <f>IF($Y$27="","",$Y$27)</f>
        <v>David Duarte (DSRAlgarve)</v>
      </c>
      <c r="AQ54" s="355" t="str">
        <f t="shared" si="7"/>
        <v>Grupo A</v>
      </c>
      <c r="AR54" s="355" t="str">
        <f t="shared" si="7"/>
        <v>Grupo A</v>
      </c>
      <c r="AS54" s="356" t="str">
        <f t="shared" si="7"/>
        <v>Grupo A</v>
      </c>
      <c r="AT54" s="231" t="str">
        <f>IF(COUNT($AA$26:$AA$27)&lt;2,"",IF($AA$26&lt;$AA$27,"V",IF($AA$26&gt;$AA$27,"D","Empate??")))</f>
        <v/>
      </c>
      <c r="AU54" s="232" t="str">
        <f>IF(COUNT($AA$26:$AA$27)&lt;2,"",$AA$27)</f>
        <v/>
      </c>
      <c r="AV54" s="233" t="str">
        <f>IF(COUNT($AA$26:$AA$27)&lt;2,"",$AA$26)</f>
        <v/>
      </c>
      <c r="AW54" s="234" t="str">
        <f t="shared" si="3"/>
        <v/>
      </c>
      <c r="AX54" s="233" t="str">
        <f>IF(COUNT($AA$26:$AA$27)&lt;2,"",SUM($AB$27:$AD$27))</f>
        <v/>
      </c>
      <c r="AY54" s="235" t="str">
        <f>IF(COUNT($AA$26:$AA$27)&lt;2,"",SUM($AB$26:$AD$26))</f>
        <v/>
      </c>
      <c r="AZ54" s="236" t="str">
        <f t="shared" si="2"/>
        <v/>
      </c>
    </row>
    <row r="55" spans="2:54" ht="12.75" hidden="1" customHeight="1">
      <c r="H55" s="126"/>
      <c r="I55" s="55"/>
      <c r="J55" s="40"/>
      <c r="K55" s="59"/>
      <c r="L55" s="46"/>
      <c r="M55" s="42"/>
      <c r="N55" s="42"/>
      <c r="O55" s="42"/>
      <c r="P55" s="55"/>
      <c r="Q55" s="51"/>
      <c r="R55" s="46"/>
      <c r="S55" s="46"/>
      <c r="T55" s="41"/>
      <c r="U55" s="41"/>
      <c r="V55" s="52"/>
      <c r="W55" s="50"/>
      <c r="X55" s="48"/>
      <c r="Y55" s="53"/>
      <c r="Z55" s="53"/>
      <c r="AA55" s="53"/>
      <c r="AB55" s="53"/>
      <c r="AC55" s="53"/>
      <c r="AD55" s="54"/>
      <c r="AE55" s="113"/>
      <c r="AN55" s="250"/>
      <c r="AO55" s="294"/>
      <c r="AP55" s="294"/>
      <c r="AQ55" s="237"/>
      <c r="AR55" s="238"/>
      <c r="AS55" s="294"/>
      <c r="AT55" s="239"/>
      <c r="AU55" s="180"/>
      <c r="AV55" s="180"/>
      <c r="AW55" s="239"/>
      <c r="AX55" s="180"/>
      <c r="AY55" s="180"/>
      <c r="AZ55" s="239"/>
      <c r="BA55" s="108"/>
      <c r="BB55" s="108"/>
    </row>
    <row r="56" spans="2:54" ht="15.75" hidden="1">
      <c r="H56" s="126"/>
      <c r="I56" s="55"/>
      <c r="J56" s="40"/>
      <c r="K56" s="59"/>
      <c r="L56" s="55"/>
      <c r="M56" s="42"/>
      <c r="N56" s="42"/>
      <c r="O56" s="42"/>
      <c r="P56" s="345" t="str">
        <f>IF(OR(V54="",V58="")=TRUE,"7º Classificado",IF(V54&gt;V58,P54,P58))</f>
        <v>7º Classificado</v>
      </c>
      <c r="Q56" s="345"/>
      <c r="R56" s="345"/>
      <c r="S56" s="345"/>
      <c r="T56" s="345"/>
      <c r="U56" s="345"/>
      <c r="V56" s="65">
        <v>35</v>
      </c>
      <c r="W56" s="66">
        <v>36</v>
      </c>
      <c r="X56" s="329" t="str">
        <f>IF(OR(W52="",W60="")=TRUE,"5º Classificado",IF(W52&gt;W60,P52,P60))</f>
        <v>5º Classificado</v>
      </c>
      <c r="Y56" s="330"/>
      <c r="Z56" s="330"/>
      <c r="AA56" s="330"/>
      <c r="AB56" s="330"/>
      <c r="AC56" s="330"/>
      <c r="AD56" s="54"/>
      <c r="AE56" s="113"/>
      <c r="AN56" s="250"/>
      <c r="AO56" s="294"/>
      <c r="AP56" s="294"/>
      <c r="AQ56" s="237"/>
      <c r="AR56" s="238"/>
      <c r="AS56" s="294"/>
      <c r="AT56" s="239"/>
      <c r="AU56" s="180"/>
      <c r="AV56" s="180"/>
      <c r="AW56" s="239"/>
      <c r="AX56" s="180"/>
      <c r="AY56" s="180"/>
      <c r="AZ56" s="239"/>
      <c r="BA56" s="108"/>
      <c r="BB56" s="108"/>
    </row>
    <row r="57" spans="2:54" ht="15" hidden="1">
      <c r="H57" s="126"/>
      <c r="I57" s="55"/>
      <c r="J57" s="40"/>
      <c r="K57" s="59"/>
      <c r="L57" s="55"/>
      <c r="M57" s="42"/>
      <c r="N57" s="42"/>
      <c r="O57" s="42"/>
      <c r="P57" s="55"/>
      <c r="Q57" s="40"/>
      <c r="R57" s="55"/>
      <c r="S57" s="55"/>
      <c r="T57" s="42"/>
      <c r="U57" s="42"/>
      <c r="V57" s="56"/>
      <c r="W57" s="50"/>
      <c r="X57" s="48"/>
      <c r="Y57" s="331"/>
      <c r="Z57" s="331"/>
      <c r="AA57" s="331"/>
      <c r="AB57" s="331"/>
      <c r="AC57" s="331"/>
      <c r="AD57" s="54"/>
      <c r="AE57" s="113"/>
      <c r="AN57" s="250"/>
      <c r="AO57" s="294"/>
      <c r="AP57" s="294"/>
      <c r="AQ57" s="237"/>
      <c r="AR57" s="238"/>
      <c r="AS57" s="294"/>
      <c r="AT57" s="239"/>
      <c r="AU57" s="180"/>
      <c r="AV57" s="180"/>
      <c r="AW57" s="239"/>
      <c r="AX57" s="180"/>
      <c r="AY57" s="180"/>
      <c r="AZ57" s="239"/>
      <c r="BA57" s="108"/>
      <c r="BB57" s="108"/>
    </row>
    <row r="58" spans="2:54" ht="15" hidden="1">
      <c r="H58" s="126"/>
      <c r="I58" s="317" t="str">
        <f>IF(I39="2ª Meia Final-Jogador1",CONCATENATE("Vencido do jogo ",H39),IF(I39=C38,C40,C38))</f>
        <v>Vencido do jogo 27</v>
      </c>
      <c r="J58" s="317"/>
      <c r="K58" s="318"/>
      <c r="L58" s="69"/>
      <c r="M58" s="69"/>
      <c r="N58" s="70"/>
      <c r="O58" s="38" t="str">
        <f>IF(COUNT(L58:N58)&lt;1,"",IF(SUM(IF(L58&gt;L62,1,0),IF(M58&gt;M62,1,0),IF(N58&gt;N62,1,0))&gt;2,"??",SUM(IF(L58&gt;L62,1,0),IF(M58&gt;M62,1,0),IF(N58&gt;N62,1,0))))</f>
        <v/>
      </c>
      <c r="P58" s="319" t="str">
        <f>IF(P60="Disputa 5º/6º Jogador2","Disputa 7º/8º  Jogador2",IF(P60=I58,I62,I58))</f>
        <v>Disputa 7º/8º  Jogador2</v>
      </c>
      <c r="Q58" s="320"/>
      <c r="R58" s="321"/>
      <c r="S58" s="69"/>
      <c r="T58" s="69"/>
      <c r="U58" s="69"/>
      <c r="V58" s="49" t="str">
        <f>IF(COUNT(S58:U58)&lt;1,"",IF(SUM(IF(S54&lt;S58,1,0),IF(T54&lt;T58,1,0),IF(U54&lt;U58,1,0))&gt;2,"??",SUM(IF(S54&lt;S58,1,0),IF(T54&lt;T58,1,0),IF(U54&lt;U58,1,0))))</f>
        <v/>
      </c>
      <c r="W58" s="50"/>
      <c r="X58" s="48"/>
      <c r="Y58" s="53"/>
      <c r="Z58" s="53"/>
      <c r="AA58" s="53"/>
      <c r="AB58" s="57"/>
      <c r="AC58" s="57"/>
      <c r="AD58" s="58"/>
      <c r="AE58" s="113"/>
      <c r="AN58" s="250"/>
      <c r="AO58" s="294"/>
      <c r="AP58" s="294"/>
      <c r="AQ58" s="237"/>
      <c r="AR58" s="238"/>
      <c r="AS58" s="294"/>
      <c r="AT58" s="239"/>
      <c r="AU58" s="180"/>
      <c r="AV58" s="180"/>
      <c r="AW58" s="239"/>
      <c r="AX58" s="180"/>
      <c r="AY58" s="180"/>
      <c r="AZ58" s="239"/>
      <c r="BA58" s="108"/>
      <c r="BB58" s="108"/>
    </row>
    <row r="59" spans="2:54" hidden="1">
      <c r="H59" s="126"/>
      <c r="I59" s="55"/>
      <c r="J59" s="40"/>
      <c r="K59" s="59"/>
      <c r="L59" s="55"/>
      <c r="M59" s="41"/>
      <c r="N59" s="41"/>
      <c r="O59" s="42"/>
      <c r="P59" s="36"/>
      <c r="Q59" s="51"/>
      <c r="R59" s="46"/>
      <c r="S59" s="55"/>
      <c r="T59" s="42"/>
      <c r="U59" s="42"/>
      <c r="V59" s="67"/>
      <c r="W59" s="50"/>
      <c r="X59" s="48"/>
      <c r="Y59" s="53"/>
      <c r="Z59" s="53"/>
      <c r="AA59" s="53"/>
      <c r="AB59" s="53"/>
      <c r="AC59" s="53"/>
      <c r="AD59" s="54"/>
      <c r="AE59" s="113"/>
    </row>
    <row r="60" spans="2:54" ht="15" hidden="1">
      <c r="H60" s="126"/>
      <c r="I60" s="55"/>
      <c r="J60" s="40"/>
      <c r="K60" s="59"/>
      <c r="L60" s="55"/>
      <c r="M60" s="42"/>
      <c r="N60" s="42"/>
      <c r="O60" s="64">
        <v>34</v>
      </c>
      <c r="P60" s="322" t="str">
        <f>IF(OR(O58="",O62="")=TRUE,"Disputa 5º/6º Jogador2",IF(O58&gt;O62,I58,I62))</f>
        <v>Disputa 5º/6º Jogador2</v>
      </c>
      <c r="Q60" s="317"/>
      <c r="R60" s="317"/>
      <c r="S60" s="318"/>
      <c r="T60" s="69"/>
      <c r="U60" s="69"/>
      <c r="V60" s="69"/>
      <c r="W60" s="45" t="str">
        <f>IF(COUNT(T60:V60)&lt;1,"",IF(SUM(IF(T52&lt;T60,1,0),IF(U52&lt;U60,1,0),IF(V52&lt;V60,1,0))&gt;2,"??",SUM(IF(T52&lt;T60,1,0),IF(U52&lt;U60,1,0),IF(V52&lt;V60,1,0))))</f>
        <v/>
      </c>
      <c r="X60" s="48"/>
      <c r="Y60" s="53"/>
      <c r="Z60" s="53"/>
      <c r="AA60" s="53"/>
      <c r="AB60" s="53"/>
      <c r="AC60" s="53"/>
      <c r="AD60" s="54"/>
      <c r="AE60" s="113"/>
    </row>
    <row r="61" spans="2:54" ht="15" hidden="1" customHeight="1">
      <c r="H61" s="126"/>
      <c r="I61" s="55"/>
      <c r="J61" s="40"/>
      <c r="K61" s="59"/>
      <c r="L61" s="55"/>
      <c r="M61" s="42"/>
      <c r="N61" s="42"/>
      <c r="O61" s="42"/>
      <c r="P61" s="36"/>
      <c r="Q61" s="40"/>
      <c r="R61" s="55"/>
      <c r="S61" s="46"/>
      <c r="T61" s="55"/>
      <c r="U61" s="55"/>
      <c r="V61" s="60"/>
      <c r="W61" s="53"/>
      <c r="X61" s="48"/>
      <c r="Y61" s="53"/>
      <c r="Z61" s="53"/>
      <c r="AA61" s="53"/>
      <c r="AB61" s="53"/>
      <c r="AC61" s="53"/>
      <c r="AD61" s="54"/>
      <c r="AE61" s="113"/>
    </row>
    <row r="62" spans="2:54" ht="15" hidden="1">
      <c r="H62" s="126"/>
      <c r="I62" s="317" t="str">
        <f>IF(I43="2ª Meia Final-Jogador2",CONCATENATE("Vencido do jogo ",H43),IF(I43=C42,C44,C42))</f>
        <v>Vencido do jogo 28</v>
      </c>
      <c r="J62" s="317"/>
      <c r="K62" s="318"/>
      <c r="L62" s="69"/>
      <c r="M62" s="69"/>
      <c r="N62" s="70"/>
      <c r="O62" s="35" t="str">
        <f>IF(COUNT(L62:N62)&lt;1,"",IF(SUM(IF(L58&lt;L62,1,0),IF(M58&lt;M62,1,0),IF(N58&lt;N62,1,0))&gt;2,"??",SUM(IF(L58&lt;L62,1,0),IF(M58&lt;M62,1,0),IF(N58&lt;N62,1,0))))</f>
        <v/>
      </c>
      <c r="P62" s="36"/>
      <c r="Q62" s="40"/>
      <c r="R62" s="55"/>
      <c r="S62" s="55"/>
      <c r="T62" s="55"/>
      <c r="U62" s="55"/>
      <c r="V62" s="55"/>
      <c r="W62" s="54"/>
      <c r="X62" s="68"/>
      <c r="Y62" s="54"/>
      <c r="Z62" s="54"/>
      <c r="AA62" s="54"/>
      <c r="AB62" s="54"/>
      <c r="AC62" s="54"/>
      <c r="AD62" s="54"/>
      <c r="AE62" s="113"/>
    </row>
    <row r="63" spans="2:54" hidden="1">
      <c r="H63" s="128"/>
      <c r="I63" s="168"/>
      <c r="J63" s="169"/>
      <c r="K63" s="168"/>
      <c r="L63" s="170"/>
      <c r="M63" s="168"/>
      <c r="N63" s="168"/>
      <c r="O63" s="168"/>
      <c r="P63" s="168"/>
      <c r="Q63" s="169"/>
      <c r="R63" s="168"/>
      <c r="S63" s="168"/>
      <c r="T63" s="168"/>
      <c r="U63" s="168"/>
      <c r="V63" s="168"/>
      <c r="W63" s="122"/>
      <c r="X63" s="123"/>
      <c r="Y63" s="122"/>
      <c r="Z63" s="122"/>
      <c r="AA63" s="122"/>
      <c r="AB63" s="122"/>
      <c r="AC63" s="122"/>
      <c r="AD63" s="122"/>
      <c r="AE63" s="124"/>
    </row>
    <row r="64" spans="2:54" ht="6" hidden="1" customHeight="1">
      <c r="H64" s="54"/>
    </row>
    <row r="65" spans="4:54" ht="13.5" hidden="1" thickBot="1">
      <c r="D65" s="54"/>
      <c r="H65" s="125"/>
      <c r="I65" s="61"/>
      <c r="J65" s="167"/>
      <c r="K65" s="61"/>
      <c r="L65" s="61"/>
      <c r="M65" s="61"/>
      <c r="N65" s="61"/>
      <c r="O65" s="61"/>
      <c r="P65" s="61"/>
      <c r="Q65" s="167"/>
      <c r="R65" s="61"/>
      <c r="S65" s="61"/>
      <c r="T65" s="61"/>
      <c r="U65" s="61"/>
      <c r="V65" s="61"/>
      <c r="W65" s="61"/>
      <c r="X65" s="167"/>
      <c r="Y65" s="61"/>
      <c r="Z65" s="61"/>
      <c r="AA65" s="61"/>
      <c r="AB65" s="61"/>
      <c r="AC65" s="61"/>
      <c r="AD65" s="61"/>
      <c r="AE65" s="3"/>
      <c r="AN65" s="250"/>
      <c r="AO65" s="294"/>
      <c r="AP65" s="327"/>
      <c r="AQ65" s="327"/>
      <c r="AR65" s="327"/>
      <c r="AS65" s="327"/>
      <c r="AT65" s="239"/>
      <c r="AU65" s="180"/>
      <c r="AV65" s="180"/>
      <c r="AW65" s="239"/>
      <c r="AX65" s="180"/>
      <c r="AY65" s="180"/>
      <c r="AZ65" s="239"/>
    </row>
    <row r="66" spans="4:54" hidden="1">
      <c r="D66" s="54"/>
      <c r="H66" s="126"/>
      <c r="I66" s="336" t="s">
        <v>66</v>
      </c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68"/>
      <c r="Y66" s="337" t="s">
        <v>0</v>
      </c>
      <c r="Z66" s="338"/>
      <c r="AA66" s="338"/>
      <c r="AB66" s="338"/>
      <c r="AC66" s="338"/>
      <c r="AD66" s="339"/>
      <c r="AE66" s="113"/>
      <c r="AN66" s="250"/>
      <c r="AO66" s="294"/>
      <c r="AP66" s="327"/>
      <c r="AQ66" s="327"/>
      <c r="AR66" s="327"/>
      <c r="AS66" s="327"/>
      <c r="AT66" s="239"/>
      <c r="AU66" s="180"/>
      <c r="AV66" s="180"/>
      <c r="AW66" s="239"/>
      <c r="AX66" s="180"/>
      <c r="AY66" s="180"/>
      <c r="AZ66" s="239"/>
    </row>
    <row r="67" spans="4:54" ht="13.5" hidden="1" thickBot="1">
      <c r="D67" s="54"/>
      <c r="H67" s="12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68"/>
      <c r="Y67" s="340"/>
      <c r="Z67" s="341"/>
      <c r="AA67" s="341"/>
      <c r="AB67" s="341"/>
      <c r="AC67" s="341"/>
      <c r="AD67" s="342"/>
      <c r="AE67" s="113"/>
      <c r="AN67" s="250"/>
      <c r="AO67" s="294"/>
      <c r="AP67" s="327"/>
      <c r="AQ67" s="327"/>
      <c r="AR67" s="327"/>
      <c r="AS67" s="327"/>
      <c r="AT67" s="239"/>
      <c r="AU67" s="180"/>
      <c r="AV67" s="180"/>
      <c r="AW67" s="239"/>
      <c r="AX67" s="180"/>
      <c r="AY67" s="180"/>
      <c r="AZ67" s="239"/>
    </row>
    <row r="68" spans="4:54" ht="15.75" hidden="1">
      <c r="H68" s="126"/>
      <c r="I68" s="317" t="str">
        <f>IF(D14="","3º  do Grupo A",D14)</f>
        <v>3º  do Grupo A</v>
      </c>
      <c r="J68" s="317"/>
      <c r="K68" s="318"/>
      <c r="L68" s="69"/>
      <c r="M68" s="69"/>
      <c r="N68" s="70"/>
      <c r="O68" s="38" t="str">
        <f>IF(COUNT(L68:N68)&lt;1,"",IF(SUM(IF(L68&gt;L72,1,0),IF(M68&gt;M72,1,0),IF(N68&gt;N72,1,0))&gt;2,"??",SUM(IF(L68&gt;L72,1,0),IF(M68&gt;M72,1,0),IF(N68&gt;N72,1,0))))</f>
        <v/>
      </c>
      <c r="P68" s="55"/>
      <c r="Q68" s="40"/>
      <c r="R68" s="55"/>
      <c r="S68" s="55"/>
      <c r="T68" s="55"/>
      <c r="U68" s="55"/>
      <c r="V68" s="55"/>
      <c r="W68" s="54"/>
      <c r="X68" s="68"/>
      <c r="Y68" s="343" t="str">
        <f>IF(X74="9º Classificado","",X74)</f>
        <v/>
      </c>
      <c r="Z68" s="344"/>
      <c r="AA68" s="344"/>
      <c r="AB68" s="344"/>
      <c r="AC68" s="344"/>
      <c r="AD68" s="39" t="s">
        <v>67</v>
      </c>
      <c r="AE68" s="113"/>
      <c r="AN68" s="250"/>
      <c r="AO68" s="294"/>
      <c r="AP68" s="327"/>
      <c r="AQ68" s="327"/>
      <c r="AR68" s="327"/>
      <c r="AS68" s="327"/>
      <c r="AT68" s="239"/>
      <c r="AU68" s="180"/>
      <c r="AV68" s="180"/>
      <c r="AW68" s="239"/>
      <c r="AX68" s="180"/>
      <c r="AY68" s="180"/>
      <c r="AZ68" s="239"/>
    </row>
    <row r="69" spans="4:54" ht="15" hidden="1" customHeight="1">
      <c r="H69" s="126"/>
      <c r="I69" s="55"/>
      <c r="J69" s="40"/>
      <c r="K69" s="59"/>
      <c r="L69" s="55"/>
      <c r="M69" s="41"/>
      <c r="N69" s="41"/>
      <c r="O69" s="42"/>
      <c r="P69" s="36"/>
      <c r="Q69" s="40"/>
      <c r="R69" s="55"/>
      <c r="S69" s="55"/>
      <c r="T69" s="55"/>
      <c r="U69" s="55"/>
      <c r="V69" s="60"/>
      <c r="W69" s="53"/>
      <c r="X69" s="48"/>
      <c r="Y69" s="332" t="str">
        <f>IF(Y68="","",IF(Y68=P70,P78,P70))</f>
        <v/>
      </c>
      <c r="Z69" s="333" t="e">
        <f>IF(#REF!="","",IF(#REF!=W69,"","(2º) "))</f>
        <v>#REF!</v>
      </c>
      <c r="AA69" s="333" t="e">
        <f>IF(#REF!="","",IF(#REF!=X69,"","(2º) "))</f>
        <v>#REF!</v>
      </c>
      <c r="AB69" s="333" t="e">
        <f>IF(#REF!="","",IF(#REF!=Y69,"","(2º) "))</f>
        <v>#REF!</v>
      </c>
      <c r="AC69" s="333" t="e">
        <f>IF(#REF!="","",IF(#REF!=Z69,"","(2º) "))</f>
        <v>#REF!</v>
      </c>
      <c r="AD69" s="43" t="s">
        <v>68</v>
      </c>
      <c r="AE69" s="113"/>
      <c r="AN69" s="250"/>
      <c r="AO69" s="294"/>
      <c r="AP69" s="327"/>
      <c r="AQ69" s="327"/>
      <c r="AR69" s="327"/>
      <c r="AS69" s="327"/>
      <c r="AT69" s="239"/>
      <c r="AU69" s="180"/>
      <c r="AV69" s="180"/>
      <c r="AW69" s="239"/>
      <c r="AX69" s="180"/>
      <c r="AY69" s="180"/>
      <c r="AZ69" s="239"/>
    </row>
    <row r="70" spans="4:54" ht="15" hidden="1" customHeight="1">
      <c r="H70" s="126"/>
      <c r="I70" s="55"/>
      <c r="J70" s="40"/>
      <c r="K70" s="59"/>
      <c r="L70" s="55"/>
      <c r="M70" s="42"/>
      <c r="N70" s="42"/>
      <c r="O70" s="64">
        <v>37</v>
      </c>
      <c r="P70" s="322" t="str">
        <f>IF(OR(O68="",O72="")=TRUE,"Disputa 9º/10º Jogador1",IF(O68&gt;O72,I68,I72))</f>
        <v>Disputa 9º/10º Jogador1</v>
      </c>
      <c r="Q70" s="317"/>
      <c r="R70" s="317"/>
      <c r="S70" s="318"/>
      <c r="T70" s="69"/>
      <c r="U70" s="69"/>
      <c r="V70" s="69"/>
      <c r="W70" s="45" t="str">
        <f>IF(COUNT(T70:V70)&lt;1,"",IF(SUM(IF(T70&gt;T78,1,0),IF(U70&gt;U78,1,0),IF(V70&gt;V78,1,0))&gt;2,"??",SUM(IF(T70&gt;T78,1,0),IF(U70&gt;U78,1,0),IF(V70&gt;V78,1,0))))</f>
        <v/>
      </c>
      <c r="X70" s="48"/>
      <c r="Y70" s="332" t="str">
        <f>IF(P74="11º Classificado","",P74)</f>
        <v/>
      </c>
      <c r="Z70" s="333"/>
      <c r="AA70" s="333"/>
      <c r="AB70" s="333"/>
      <c r="AC70" s="333"/>
      <c r="AD70" s="43" t="s">
        <v>69</v>
      </c>
      <c r="AE70" s="113"/>
      <c r="AN70" s="250"/>
      <c r="AO70" s="294"/>
      <c r="AP70" s="327"/>
      <c r="AQ70" s="327"/>
      <c r="AR70" s="327"/>
      <c r="AS70" s="327"/>
      <c r="AT70" s="239"/>
      <c r="AU70" s="180"/>
      <c r="AV70" s="180"/>
      <c r="AW70" s="239"/>
      <c r="AX70" s="180"/>
      <c r="AY70" s="180"/>
      <c r="AZ70" s="239"/>
    </row>
    <row r="71" spans="4:54" ht="15.75" hidden="1" thickBot="1">
      <c r="H71" s="126"/>
      <c r="I71" s="55"/>
      <c r="J71" s="40"/>
      <c r="K71" s="59"/>
      <c r="L71" s="55"/>
      <c r="M71" s="42"/>
      <c r="N71" s="42"/>
      <c r="O71" s="42"/>
      <c r="P71" s="36"/>
      <c r="Q71" s="40"/>
      <c r="R71" s="55"/>
      <c r="S71" s="46"/>
      <c r="T71" s="42"/>
      <c r="U71" s="42"/>
      <c r="V71" s="67"/>
      <c r="W71" s="47"/>
      <c r="X71" s="48"/>
      <c r="Y71" s="334" t="str">
        <f>IF(Y70="","",IF(Y70=P72,P76,P72))</f>
        <v/>
      </c>
      <c r="Z71" s="335"/>
      <c r="AA71" s="335"/>
      <c r="AB71" s="335"/>
      <c r="AC71" s="335"/>
      <c r="AD71" s="164" t="s">
        <v>70</v>
      </c>
      <c r="AE71" s="113"/>
      <c r="AN71" s="250"/>
      <c r="AO71" s="294"/>
      <c r="AP71" s="327"/>
      <c r="AQ71" s="327"/>
      <c r="AR71" s="327"/>
      <c r="AS71" s="327"/>
      <c r="AT71" s="239"/>
      <c r="AU71" s="180"/>
      <c r="AV71" s="180"/>
      <c r="AW71" s="239"/>
      <c r="AX71" s="180"/>
      <c r="AY71" s="180"/>
      <c r="AZ71" s="239"/>
    </row>
    <row r="72" spans="4:54" ht="15" hidden="1">
      <c r="H72" s="126"/>
      <c r="I72" s="317" t="str">
        <f>IF(K14="","3º  do Grupo B",K14)</f>
        <v>3º  do Grupo B</v>
      </c>
      <c r="J72" s="317"/>
      <c r="K72" s="318"/>
      <c r="L72" s="69"/>
      <c r="M72" s="69"/>
      <c r="N72" s="70"/>
      <c r="O72" s="35" t="str">
        <f>IF(COUNT(L72:N72)&lt;1,"",IF(SUM(IF(L68&lt;L72,1,0),IF(M68&lt;M72,1,0),IF(N68&lt;N72,1,0))&gt;2,"??",SUM(IF(L68&lt;L72,1,0),IF(M68&lt;M72,1,0),IF(N68&lt;N72,1,0))))</f>
        <v/>
      </c>
      <c r="P72" s="324" t="str">
        <f>IF(P70="Disputa 9º/10º Jogador1","Disputa 11º/12º  Jogador1",IF(P70=I68,I72,I68))</f>
        <v>Disputa 11º/12º  Jogador1</v>
      </c>
      <c r="Q72" s="325"/>
      <c r="R72" s="326"/>
      <c r="S72" s="69"/>
      <c r="T72" s="69"/>
      <c r="U72" s="69"/>
      <c r="V72" s="49" t="str">
        <f>IF(COUNT(S72:U72)&lt;1,"",IF(SUM(IF(S72&gt;S76,1,0),IF(T72&gt;T76,1,0),IF(U72&gt;U76,1,0))&gt;2,"??",SUM(IF(S72&gt;S76,1,0),IF(T72&gt;T76,1,0),IF(U72&gt;U76,1,0))))</f>
        <v/>
      </c>
      <c r="W72" s="50"/>
      <c r="X72" s="48"/>
      <c r="Y72" s="53"/>
      <c r="Z72" s="53"/>
      <c r="AA72" s="53"/>
      <c r="AB72" s="53"/>
      <c r="AC72" s="53"/>
      <c r="AD72" s="54"/>
      <c r="AE72" s="113"/>
      <c r="AN72" s="250"/>
      <c r="AO72" s="294"/>
      <c r="AP72" s="327"/>
      <c r="AQ72" s="327"/>
      <c r="AR72" s="327"/>
      <c r="AS72" s="327"/>
      <c r="AT72" s="239"/>
      <c r="AU72" s="180"/>
      <c r="AV72" s="180"/>
      <c r="AW72" s="239"/>
      <c r="AX72" s="180"/>
      <c r="AY72" s="180"/>
      <c r="AZ72" s="239"/>
    </row>
    <row r="73" spans="4:54" ht="12.75" hidden="1" customHeight="1">
      <c r="H73" s="126"/>
      <c r="I73" s="55"/>
      <c r="J73" s="40"/>
      <c r="K73" s="59"/>
      <c r="L73" s="46"/>
      <c r="M73" s="42"/>
      <c r="N73" s="42"/>
      <c r="O73" s="42"/>
      <c r="P73" s="55"/>
      <c r="Q73" s="51"/>
      <c r="R73" s="46"/>
      <c r="S73" s="46"/>
      <c r="T73" s="41"/>
      <c r="U73" s="41"/>
      <c r="V73" s="52"/>
      <c r="W73" s="50"/>
      <c r="X73" s="48"/>
      <c r="Y73" s="53"/>
      <c r="Z73" s="53"/>
      <c r="AA73" s="53"/>
      <c r="AB73" s="53"/>
      <c r="AC73" s="53"/>
      <c r="AD73" s="54"/>
      <c r="AE73" s="113"/>
      <c r="AN73" s="250"/>
      <c r="AO73" s="294"/>
      <c r="AP73" s="294"/>
      <c r="AQ73" s="237"/>
      <c r="AR73" s="238"/>
      <c r="AS73" s="294"/>
      <c r="AT73" s="239"/>
      <c r="AU73" s="180"/>
      <c r="AV73" s="180"/>
      <c r="AW73" s="239"/>
      <c r="AX73" s="180"/>
      <c r="AY73" s="180"/>
      <c r="AZ73" s="239"/>
      <c r="BA73" s="108"/>
      <c r="BB73" s="108"/>
    </row>
    <row r="74" spans="4:54" ht="15.75" hidden="1">
      <c r="H74" s="126"/>
      <c r="I74" s="55"/>
      <c r="J74" s="40"/>
      <c r="K74" s="59"/>
      <c r="L74" s="55"/>
      <c r="M74" s="42"/>
      <c r="N74" s="42"/>
      <c r="O74" s="42"/>
      <c r="P74" s="328" t="str">
        <f>IF(OR(V72="",V76="")=TRUE,"11º Classificado",IF(V72&gt;V76,P72,P76))</f>
        <v>11º Classificado</v>
      </c>
      <c r="Q74" s="328"/>
      <c r="R74" s="328"/>
      <c r="S74" s="328"/>
      <c r="T74" s="328"/>
      <c r="U74" s="328"/>
      <c r="V74" s="65">
        <v>39</v>
      </c>
      <c r="W74" s="66">
        <v>40</v>
      </c>
      <c r="X74" s="329" t="str">
        <f>IF(OR(W70="",W78="")=TRUE,"9º Classificado",IF(W70&gt;W78,P70,P78))</f>
        <v>9º Classificado</v>
      </c>
      <c r="Y74" s="330"/>
      <c r="Z74" s="330"/>
      <c r="AA74" s="330"/>
      <c r="AB74" s="330"/>
      <c r="AC74" s="330"/>
      <c r="AD74" s="54"/>
      <c r="AE74" s="113"/>
      <c r="AN74" s="250"/>
      <c r="AO74" s="294"/>
      <c r="AP74" s="294"/>
      <c r="AQ74" s="237"/>
      <c r="AR74" s="238"/>
      <c r="AS74" s="294"/>
      <c r="AT74" s="239"/>
      <c r="AU74" s="180"/>
      <c r="AV74" s="180"/>
      <c r="AW74" s="239"/>
      <c r="AX74" s="180"/>
      <c r="AY74" s="180"/>
      <c r="AZ74" s="239"/>
      <c r="BA74" s="108"/>
      <c r="BB74" s="108"/>
    </row>
    <row r="75" spans="4:54" ht="15" hidden="1">
      <c r="H75" s="126"/>
      <c r="I75" s="55"/>
      <c r="J75" s="40"/>
      <c r="K75" s="59"/>
      <c r="L75" s="55"/>
      <c r="M75" s="42"/>
      <c r="N75" s="42"/>
      <c r="O75" s="42"/>
      <c r="P75" s="55"/>
      <c r="Q75" s="40"/>
      <c r="R75" s="55"/>
      <c r="S75" s="55"/>
      <c r="T75" s="42"/>
      <c r="U75" s="42"/>
      <c r="V75" s="56"/>
      <c r="W75" s="50"/>
      <c r="X75" s="48"/>
      <c r="Y75" s="331"/>
      <c r="Z75" s="331"/>
      <c r="AA75" s="331"/>
      <c r="AB75" s="331"/>
      <c r="AC75" s="331"/>
      <c r="AD75" s="54"/>
      <c r="AE75" s="113"/>
      <c r="AN75" s="250"/>
      <c r="AO75" s="294"/>
      <c r="AP75" s="294"/>
      <c r="AQ75" s="237"/>
      <c r="AR75" s="238"/>
      <c r="AS75" s="294"/>
      <c r="AT75" s="239"/>
      <c r="AU75" s="180"/>
      <c r="AV75" s="180"/>
      <c r="AW75" s="239"/>
      <c r="AX75" s="180"/>
      <c r="AY75" s="180"/>
      <c r="AZ75" s="239"/>
      <c r="BA75" s="108"/>
      <c r="BB75" s="108"/>
    </row>
    <row r="76" spans="4:54" ht="15" hidden="1">
      <c r="H76" s="126"/>
      <c r="I76" s="317" t="str">
        <f>IF(R14="","3º  do Grupo C",R14)</f>
        <v>3º  do Grupo C</v>
      </c>
      <c r="J76" s="317"/>
      <c r="K76" s="318"/>
      <c r="L76" s="69"/>
      <c r="M76" s="69"/>
      <c r="N76" s="70"/>
      <c r="O76" s="38" t="str">
        <f>IF(COUNT(L76:N76)&lt;1,"",IF(SUM(IF(L76&gt;L80,1,0),IF(M76&gt;M80,1,0),IF(N76&gt;N80,1,0))&gt;2,"??",SUM(IF(L76&gt;L80,1,0),IF(M76&gt;M80,1,0),IF(N76&gt;N80,1,0))))</f>
        <v/>
      </c>
      <c r="P76" s="319" t="str">
        <f>IF(P78="Disputa 9º/10º Jogador2","Disputa 11º/12º  Jogador2",IF(P78=I76,I80,I76))</f>
        <v>Disputa 11º/12º  Jogador2</v>
      </c>
      <c r="Q76" s="320"/>
      <c r="R76" s="321"/>
      <c r="S76" s="69"/>
      <c r="T76" s="69"/>
      <c r="U76" s="69"/>
      <c r="V76" s="49" t="str">
        <f>IF(COUNT(S76:U76)&lt;1,"",IF(SUM(IF(S72&lt;S76,1,0),IF(T72&lt;T76,1,0),IF(U72&lt;U76,1,0))&gt;2,"??",SUM(IF(S72&lt;S76,1,0),IF(T72&lt;T76,1,0),IF(U72&lt;U76,1,0))))</f>
        <v/>
      </c>
      <c r="W76" s="50"/>
      <c r="X76" s="48"/>
      <c r="Y76" s="53"/>
      <c r="Z76" s="53"/>
      <c r="AA76" s="53"/>
      <c r="AB76" s="57"/>
      <c r="AC76" s="57"/>
      <c r="AD76" s="58"/>
      <c r="AE76" s="113"/>
      <c r="AN76" s="250"/>
      <c r="AO76" s="294"/>
      <c r="AP76" s="294"/>
      <c r="AQ76" s="237"/>
      <c r="AR76" s="238"/>
      <c r="AS76" s="294"/>
      <c r="AT76" s="239"/>
      <c r="AU76" s="180"/>
      <c r="AV76" s="180"/>
      <c r="AW76" s="239"/>
      <c r="AX76" s="180"/>
      <c r="AY76" s="180"/>
      <c r="AZ76" s="239"/>
      <c r="BA76" s="108"/>
      <c r="BB76" s="108"/>
    </row>
    <row r="77" spans="4:54" hidden="1">
      <c r="H77" s="126"/>
      <c r="I77" s="55"/>
      <c r="J77" s="40"/>
      <c r="K77" s="59"/>
      <c r="L77" s="55"/>
      <c r="M77" s="41"/>
      <c r="N77" s="41"/>
      <c r="O77" s="42"/>
      <c r="P77" s="36"/>
      <c r="Q77" s="51"/>
      <c r="R77" s="46"/>
      <c r="S77" s="55"/>
      <c r="T77" s="42"/>
      <c r="U77" s="42"/>
      <c r="V77" s="67"/>
      <c r="W77" s="50"/>
      <c r="X77" s="48"/>
      <c r="Y77" s="53"/>
      <c r="Z77" s="53"/>
      <c r="AA77" s="53"/>
      <c r="AB77" s="53"/>
      <c r="AC77" s="53"/>
      <c r="AD77" s="54"/>
      <c r="AE77" s="113"/>
    </row>
    <row r="78" spans="4:54" ht="15" hidden="1">
      <c r="H78" s="126"/>
      <c r="I78" s="55"/>
      <c r="J78" s="40"/>
      <c r="K78" s="59"/>
      <c r="L78" s="55"/>
      <c r="M78" s="42"/>
      <c r="N78" s="42"/>
      <c r="O78" s="64">
        <v>38</v>
      </c>
      <c r="P78" s="322" t="str">
        <f>IF(OR(O76="",O80="")=TRUE,"Disputa 9º/10º Jogador2",IF(O76&gt;O80,I76,I80))</f>
        <v>Disputa 9º/10º Jogador2</v>
      </c>
      <c r="Q78" s="317"/>
      <c r="R78" s="317"/>
      <c r="S78" s="318"/>
      <c r="T78" s="69"/>
      <c r="U78" s="69"/>
      <c r="V78" s="69"/>
      <c r="W78" s="45" t="str">
        <f>IF(COUNT(T78:V78)&lt;1,"",IF(SUM(IF(T70&lt;T78,1,0),IF(U70&lt;U78,1,0),IF(V70&lt;V78,1,0))&gt;2,"??",SUM(IF(T70&lt;T78,1,0),IF(U70&lt;U78,1,0),IF(V70&lt;V78,1,0))))</f>
        <v/>
      </c>
      <c r="X78" s="48"/>
      <c r="Y78" s="53"/>
      <c r="Z78" s="53"/>
      <c r="AA78" s="53"/>
      <c r="AB78" s="53"/>
      <c r="AC78" s="53"/>
      <c r="AD78" s="54"/>
      <c r="AE78" s="113"/>
    </row>
    <row r="79" spans="4:54" ht="15" hidden="1" customHeight="1">
      <c r="H79" s="126"/>
      <c r="I79" s="55"/>
      <c r="J79" s="40"/>
      <c r="K79" s="59"/>
      <c r="L79" s="55"/>
      <c r="M79" s="42"/>
      <c r="N79" s="42"/>
      <c r="O79" s="42"/>
      <c r="P79" s="36"/>
      <c r="Q79" s="40"/>
      <c r="R79" s="55"/>
      <c r="S79" s="46"/>
      <c r="T79" s="55"/>
      <c r="U79" s="55"/>
      <c r="V79" s="60"/>
      <c r="W79" s="53"/>
      <c r="X79" s="48"/>
      <c r="Y79" s="53"/>
      <c r="Z79" s="53"/>
      <c r="AA79" s="53"/>
      <c r="AB79" s="53"/>
      <c r="AC79" s="53"/>
      <c r="AD79" s="54"/>
      <c r="AE79" s="113"/>
    </row>
    <row r="80" spans="4:54" ht="15" hidden="1">
      <c r="H80" s="126"/>
      <c r="I80" s="317" t="str">
        <f>IF(Y14="","3º  do Grupo D",Y14)</f>
        <v>3º  do Grupo D</v>
      </c>
      <c r="J80" s="317"/>
      <c r="K80" s="318"/>
      <c r="L80" s="69"/>
      <c r="M80" s="69"/>
      <c r="N80" s="70"/>
      <c r="O80" s="35" t="str">
        <f>IF(COUNT(L80:N80)&lt;1,"",IF(SUM(IF(L76&lt;L80,1,0),IF(M76&lt;M80,1,0),IF(N76&lt;N80,1,0))&gt;2,"??",SUM(IF(L76&lt;L80,1,0),IF(M76&lt;M80,1,0),IF(N76&lt;N80,1,0))))</f>
        <v/>
      </c>
      <c r="P80" s="36"/>
      <c r="Q80" s="40"/>
      <c r="R80" s="55"/>
      <c r="S80" s="55"/>
      <c r="T80" s="55"/>
      <c r="U80" s="55"/>
      <c r="V80" s="55"/>
      <c r="W80" s="54"/>
      <c r="X80" s="68"/>
      <c r="Y80" s="54"/>
      <c r="Z80" s="54"/>
      <c r="AA80" s="54"/>
      <c r="AB80" s="54"/>
      <c r="AC80" s="54"/>
      <c r="AD80" s="54"/>
      <c r="AE80" s="113"/>
    </row>
    <row r="81" spans="4:54" hidden="1">
      <c r="H81" s="128"/>
      <c r="I81" s="168"/>
      <c r="J81" s="169"/>
      <c r="K81" s="168"/>
      <c r="L81" s="170"/>
      <c r="M81" s="168"/>
      <c r="N81" s="168"/>
      <c r="O81" s="168"/>
      <c r="P81" s="168"/>
      <c r="Q81" s="169"/>
      <c r="R81" s="168"/>
      <c r="S81" s="168"/>
      <c r="T81" s="168"/>
      <c r="U81" s="168"/>
      <c r="V81" s="168"/>
      <c r="W81" s="122"/>
      <c r="X81" s="123"/>
      <c r="Y81" s="122"/>
      <c r="Z81" s="122"/>
      <c r="AA81" s="122"/>
      <c r="AB81" s="122"/>
      <c r="AC81" s="122"/>
      <c r="AD81" s="122"/>
      <c r="AE81" s="124"/>
    </row>
    <row r="82" spans="4:54" ht="6" hidden="1" customHeight="1">
      <c r="H82" s="54"/>
    </row>
    <row r="83" spans="4:54" ht="13.5" hidden="1" thickBot="1">
      <c r="D83" s="54"/>
      <c r="H83" s="125"/>
      <c r="I83" s="61"/>
      <c r="J83" s="167"/>
      <c r="K83" s="61"/>
      <c r="L83" s="61"/>
      <c r="M83" s="61"/>
      <c r="N83" s="61"/>
      <c r="O83" s="61"/>
      <c r="P83" s="61"/>
      <c r="Q83" s="167"/>
      <c r="R83" s="61"/>
      <c r="S83" s="61"/>
      <c r="T83" s="61"/>
      <c r="U83" s="61"/>
      <c r="V83" s="61"/>
      <c r="W83" s="61"/>
      <c r="X83" s="167"/>
      <c r="Y83" s="61"/>
      <c r="Z83" s="61"/>
      <c r="AA83" s="61"/>
      <c r="AB83" s="61"/>
      <c r="AC83" s="61"/>
      <c r="AD83" s="61"/>
      <c r="AE83" s="3"/>
      <c r="AN83" s="250"/>
      <c r="AO83" s="294"/>
      <c r="AP83" s="327"/>
      <c r="AQ83" s="327"/>
      <c r="AR83" s="327"/>
      <c r="AS83" s="327"/>
      <c r="AT83" s="239"/>
      <c r="AU83" s="180"/>
      <c r="AV83" s="180"/>
      <c r="AW83" s="239"/>
      <c r="AX83" s="180"/>
      <c r="AY83" s="180"/>
      <c r="AZ83" s="239"/>
    </row>
    <row r="84" spans="4:54" hidden="1">
      <c r="D84" s="54"/>
      <c r="H84" s="126"/>
      <c r="I84" s="336" t="s">
        <v>231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68"/>
      <c r="Y84" s="337" t="s">
        <v>0</v>
      </c>
      <c r="Z84" s="338"/>
      <c r="AA84" s="338"/>
      <c r="AB84" s="338"/>
      <c r="AC84" s="338"/>
      <c r="AD84" s="339"/>
      <c r="AE84" s="113"/>
      <c r="AN84" s="250"/>
      <c r="AO84" s="294"/>
      <c r="AP84" s="327"/>
      <c r="AQ84" s="327"/>
      <c r="AR84" s="327"/>
      <c r="AS84" s="327"/>
      <c r="AT84" s="239"/>
      <c r="AU84" s="180"/>
      <c r="AV84" s="180"/>
      <c r="AW84" s="239"/>
      <c r="AX84" s="180"/>
      <c r="AY84" s="180"/>
      <c r="AZ84" s="239"/>
    </row>
    <row r="85" spans="4:54" ht="13.5" hidden="1" thickBot="1">
      <c r="D85" s="54"/>
      <c r="H85" s="12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68"/>
      <c r="Y85" s="340"/>
      <c r="Z85" s="341"/>
      <c r="AA85" s="341"/>
      <c r="AB85" s="341"/>
      <c r="AC85" s="341"/>
      <c r="AD85" s="342"/>
      <c r="AE85" s="113"/>
      <c r="AN85" s="250"/>
      <c r="AO85" s="294"/>
      <c r="AP85" s="327"/>
      <c r="AQ85" s="327"/>
      <c r="AR85" s="327"/>
      <c r="AS85" s="327"/>
      <c r="AT85" s="239"/>
      <c r="AU85" s="180"/>
      <c r="AV85" s="180"/>
      <c r="AW85" s="239"/>
      <c r="AX85" s="180"/>
      <c r="AY85" s="180"/>
      <c r="AZ85" s="239"/>
    </row>
    <row r="86" spans="4:54" ht="15.75" hidden="1">
      <c r="H86" s="126"/>
      <c r="I86" s="317" t="str">
        <f>IF(D15="","4º  do Grupo A",D15)</f>
        <v>4º  do Grupo A</v>
      </c>
      <c r="J86" s="317"/>
      <c r="K86" s="318"/>
      <c r="L86" s="69"/>
      <c r="M86" s="69"/>
      <c r="N86" s="70"/>
      <c r="O86" s="38" t="str">
        <f>IF(COUNT(L86:N86)&lt;1,"",IF(SUM(IF(L86&gt;L90,1,0),IF(M86&gt;M90,1,0),IF(N86&gt;N90,1,0))&gt;2,"??",SUM(IF(L86&gt;L90,1,0),IF(M86&gt;M90,1,0),IF(N86&gt;N90,1,0))))</f>
        <v/>
      </c>
      <c r="P86" s="55"/>
      <c r="Q86" s="40"/>
      <c r="R86" s="55"/>
      <c r="S86" s="55"/>
      <c r="T86" s="55"/>
      <c r="U86" s="55"/>
      <c r="V86" s="55"/>
      <c r="W86" s="54"/>
      <c r="X86" s="68"/>
      <c r="Y86" s="343" t="str">
        <f>IF(X92="13º Classificado","",X92)</f>
        <v/>
      </c>
      <c r="Z86" s="344"/>
      <c r="AA86" s="344"/>
      <c r="AB86" s="344"/>
      <c r="AC86" s="344"/>
      <c r="AD86" s="39" t="s">
        <v>232</v>
      </c>
      <c r="AE86" s="113"/>
      <c r="AN86" s="250"/>
      <c r="AO86" s="294"/>
      <c r="AP86" s="327"/>
      <c r="AQ86" s="327"/>
      <c r="AR86" s="327"/>
      <c r="AS86" s="327"/>
      <c r="AT86" s="239"/>
      <c r="AU86" s="180"/>
      <c r="AV86" s="180"/>
      <c r="AW86" s="239"/>
      <c r="AX86" s="180"/>
      <c r="AY86" s="180"/>
      <c r="AZ86" s="239"/>
    </row>
    <row r="87" spans="4:54" ht="15" hidden="1" customHeight="1">
      <c r="H87" s="126"/>
      <c r="I87" s="55"/>
      <c r="J87" s="40"/>
      <c r="K87" s="59"/>
      <c r="L87" s="55"/>
      <c r="M87" s="41"/>
      <c r="N87" s="41"/>
      <c r="O87" s="42"/>
      <c r="P87" s="36"/>
      <c r="Q87" s="40"/>
      <c r="R87" s="55"/>
      <c r="S87" s="55"/>
      <c r="T87" s="55"/>
      <c r="U87" s="55"/>
      <c r="V87" s="60"/>
      <c r="W87" s="53"/>
      <c r="X87" s="48"/>
      <c r="Y87" s="332" t="str">
        <f>IF(Y86="","",IF(Y86=P88,P96,P88))</f>
        <v/>
      </c>
      <c r="Z87" s="333" t="e">
        <f>IF(#REF!="","",IF(#REF!=W87,"","(2º) "))</f>
        <v>#REF!</v>
      </c>
      <c r="AA87" s="333" t="e">
        <f>IF(#REF!="","",IF(#REF!=X87,"","(2º) "))</f>
        <v>#REF!</v>
      </c>
      <c r="AB87" s="333" t="e">
        <f>IF(#REF!="","",IF(#REF!=Y87,"","(2º) "))</f>
        <v>#REF!</v>
      </c>
      <c r="AC87" s="333" t="e">
        <f>IF(#REF!="","",IF(#REF!=Z87,"","(2º) "))</f>
        <v>#REF!</v>
      </c>
      <c r="AD87" s="43" t="s">
        <v>233</v>
      </c>
      <c r="AE87" s="113"/>
      <c r="AN87" s="250"/>
      <c r="AO87" s="294"/>
      <c r="AP87" s="327"/>
      <c r="AQ87" s="327"/>
      <c r="AR87" s="327"/>
      <c r="AS87" s="327"/>
      <c r="AT87" s="239"/>
      <c r="AU87" s="180"/>
      <c r="AV87" s="180"/>
      <c r="AW87" s="239"/>
      <c r="AX87" s="180"/>
      <c r="AY87" s="180"/>
      <c r="AZ87" s="239"/>
    </row>
    <row r="88" spans="4:54" ht="15" hidden="1" customHeight="1">
      <c r="H88" s="126"/>
      <c r="I88" s="55"/>
      <c r="J88" s="40"/>
      <c r="K88" s="59"/>
      <c r="L88" s="55"/>
      <c r="M88" s="42"/>
      <c r="N88" s="42"/>
      <c r="O88" s="64">
        <v>41</v>
      </c>
      <c r="P88" s="322" t="str">
        <f>IF(OR(O86="",O90="")=TRUE,"Disputa 13º/14º Jogador1",IF(O86&gt;O90,I86,I90))</f>
        <v>Disputa 13º/14º Jogador1</v>
      </c>
      <c r="Q88" s="317"/>
      <c r="R88" s="317"/>
      <c r="S88" s="318"/>
      <c r="T88" s="69"/>
      <c r="U88" s="69"/>
      <c r="V88" s="69"/>
      <c r="W88" s="45" t="str">
        <f>IF(COUNT(T88:V88)&lt;1,"",IF(SUM(IF(T88&gt;T96,1,0),IF(U88&gt;U96,1,0),IF(V88&gt;V96,1,0))&gt;2,"??",SUM(IF(T88&gt;T96,1,0),IF(U88&gt;U96,1,0),IF(V88&gt;V96,1,0))))</f>
        <v/>
      </c>
      <c r="X88" s="48"/>
      <c r="Y88" s="332" t="str">
        <f>IF(P92="15º Classificado","",P92)</f>
        <v/>
      </c>
      <c r="Z88" s="333"/>
      <c r="AA88" s="333"/>
      <c r="AB88" s="333"/>
      <c r="AC88" s="333"/>
      <c r="AD88" s="43" t="s">
        <v>234</v>
      </c>
      <c r="AE88" s="113"/>
      <c r="AN88" s="250"/>
      <c r="AO88" s="294"/>
      <c r="AP88" s="327"/>
      <c r="AQ88" s="327"/>
      <c r="AR88" s="327"/>
      <c r="AS88" s="327"/>
      <c r="AT88" s="239"/>
      <c r="AU88" s="180"/>
      <c r="AV88" s="180"/>
      <c r="AW88" s="239"/>
      <c r="AX88" s="180"/>
      <c r="AY88" s="180"/>
      <c r="AZ88" s="239"/>
    </row>
    <row r="89" spans="4:54" ht="15.75" hidden="1" thickBot="1">
      <c r="H89" s="126"/>
      <c r="I89" s="55"/>
      <c r="J89" s="40"/>
      <c r="K89" s="59"/>
      <c r="L89" s="55"/>
      <c r="M89" s="42"/>
      <c r="N89" s="42"/>
      <c r="O89" s="42"/>
      <c r="P89" s="36"/>
      <c r="Q89" s="40"/>
      <c r="R89" s="55"/>
      <c r="S89" s="46"/>
      <c r="T89" s="42"/>
      <c r="U89" s="42"/>
      <c r="V89" s="67"/>
      <c r="W89" s="47"/>
      <c r="X89" s="48"/>
      <c r="Y89" s="334" t="str">
        <f>IF(Y88="","",IF(Y88=P90,P94,P90))</f>
        <v/>
      </c>
      <c r="Z89" s="335"/>
      <c r="AA89" s="335"/>
      <c r="AB89" s="335"/>
      <c r="AC89" s="335"/>
      <c r="AD89" s="164" t="s">
        <v>235</v>
      </c>
      <c r="AE89" s="113"/>
      <c r="AN89" s="250"/>
      <c r="AO89" s="294"/>
      <c r="AP89" s="327"/>
      <c r="AQ89" s="327"/>
      <c r="AR89" s="327"/>
      <c r="AS89" s="327"/>
      <c r="AT89" s="239"/>
      <c r="AU89" s="180"/>
      <c r="AV89" s="180"/>
      <c r="AW89" s="239"/>
      <c r="AX89" s="180"/>
      <c r="AY89" s="180"/>
      <c r="AZ89" s="239"/>
    </row>
    <row r="90" spans="4:54" ht="15" hidden="1">
      <c r="H90" s="126"/>
      <c r="I90" s="317" t="str">
        <f>IF(K15="","4º  do Grupo B",K15)</f>
        <v>4º  do Grupo B</v>
      </c>
      <c r="J90" s="317"/>
      <c r="K90" s="318"/>
      <c r="L90" s="69"/>
      <c r="M90" s="69"/>
      <c r="N90" s="70"/>
      <c r="O90" s="35" t="str">
        <f>IF(COUNT(L90:N90)&lt;1,"",IF(SUM(IF(L86&lt;L90,1,0),IF(M86&lt;M90,1,0),IF(N86&lt;N90,1,0))&gt;2,"??",SUM(IF(L86&lt;L90,1,0),IF(M86&lt;M90,1,0),IF(N86&lt;N90,1,0))))</f>
        <v/>
      </c>
      <c r="P90" s="324" t="str">
        <f>IF(P88="Disputa 13º/14º Jogador1","Disputa 15º/16º  Jogador1",IF(P88=I86,I90,I86))</f>
        <v>Disputa 15º/16º  Jogador1</v>
      </c>
      <c r="Q90" s="325"/>
      <c r="R90" s="326"/>
      <c r="S90" s="69"/>
      <c r="T90" s="69"/>
      <c r="U90" s="69"/>
      <c r="V90" s="49" t="str">
        <f>IF(COUNT(S90:U90)&lt;1,"",IF(SUM(IF(S90&gt;S94,1,0),IF(T90&gt;T94,1,0),IF(U90&gt;U94,1,0))&gt;2,"??",SUM(IF(S90&gt;S94,1,0),IF(T90&gt;T94,1,0),IF(U90&gt;U94,1,0))))</f>
        <v/>
      </c>
      <c r="W90" s="50"/>
      <c r="X90" s="48"/>
      <c r="Y90" s="53"/>
      <c r="Z90" s="53"/>
      <c r="AA90" s="53"/>
      <c r="AB90" s="53"/>
      <c r="AC90" s="53"/>
      <c r="AD90" s="54"/>
      <c r="AE90" s="113"/>
      <c r="AN90" s="250"/>
      <c r="AO90" s="294"/>
      <c r="AP90" s="327"/>
      <c r="AQ90" s="327"/>
      <c r="AR90" s="327"/>
      <c r="AS90" s="327"/>
      <c r="AT90" s="239"/>
      <c r="AU90" s="180"/>
      <c r="AV90" s="180"/>
      <c r="AW90" s="239"/>
      <c r="AX90" s="180"/>
      <c r="AY90" s="180"/>
      <c r="AZ90" s="239"/>
    </row>
    <row r="91" spans="4:54" ht="12.75" hidden="1" customHeight="1">
      <c r="H91" s="126"/>
      <c r="I91" s="55"/>
      <c r="J91" s="40"/>
      <c r="K91" s="59"/>
      <c r="L91" s="46"/>
      <c r="M91" s="42"/>
      <c r="N91" s="42"/>
      <c r="O91" s="42"/>
      <c r="P91" s="55"/>
      <c r="Q91" s="51"/>
      <c r="R91" s="46"/>
      <c r="S91" s="46"/>
      <c r="T91" s="41"/>
      <c r="U91" s="41"/>
      <c r="V91" s="52"/>
      <c r="W91" s="50"/>
      <c r="X91" s="48"/>
      <c r="Y91" s="53"/>
      <c r="Z91" s="53"/>
      <c r="AA91" s="53"/>
      <c r="AB91" s="53"/>
      <c r="AC91" s="53"/>
      <c r="AD91" s="54"/>
      <c r="AE91" s="113"/>
      <c r="AN91" s="250"/>
      <c r="AO91" s="294"/>
      <c r="AP91" s="294"/>
      <c r="AQ91" s="237"/>
      <c r="AR91" s="238"/>
      <c r="AS91" s="294"/>
      <c r="AT91" s="239"/>
      <c r="AU91" s="180"/>
      <c r="AV91" s="180"/>
      <c r="AW91" s="239"/>
      <c r="AX91" s="180"/>
      <c r="AY91" s="180"/>
      <c r="AZ91" s="239"/>
      <c r="BA91" s="108"/>
      <c r="BB91" s="108"/>
    </row>
    <row r="92" spans="4:54" ht="15.75" hidden="1">
      <c r="H92" s="126"/>
      <c r="I92" s="55"/>
      <c r="J92" s="40"/>
      <c r="K92" s="59"/>
      <c r="L92" s="55"/>
      <c r="M92" s="42"/>
      <c r="N92" s="42"/>
      <c r="O92" s="42"/>
      <c r="P92" s="328" t="str">
        <f>IF(OR(V90="",V94="")=TRUE,"15º Classificado",IF(V90&gt;V94,P90,P94))</f>
        <v>15º Classificado</v>
      </c>
      <c r="Q92" s="328"/>
      <c r="R92" s="328"/>
      <c r="S92" s="328"/>
      <c r="T92" s="328"/>
      <c r="U92" s="328"/>
      <c r="V92" s="65">
        <v>43</v>
      </c>
      <c r="W92" s="66">
        <v>44</v>
      </c>
      <c r="X92" s="329" t="str">
        <f>IF(OR(W88="",W96="")=TRUE,"13º Classificado",IF(W88&gt;W96,P88,P96))</f>
        <v>13º Classificado</v>
      </c>
      <c r="Y92" s="330"/>
      <c r="Z92" s="330"/>
      <c r="AA92" s="330"/>
      <c r="AB92" s="330"/>
      <c r="AC92" s="330"/>
      <c r="AD92" s="54"/>
      <c r="AE92" s="113"/>
      <c r="AN92" s="250"/>
      <c r="AO92" s="294"/>
      <c r="AP92" s="294"/>
      <c r="AQ92" s="237"/>
      <c r="AR92" s="238"/>
      <c r="AS92" s="294"/>
      <c r="AT92" s="239"/>
      <c r="AU92" s="180"/>
      <c r="AV92" s="180"/>
      <c r="AW92" s="239"/>
      <c r="AX92" s="180"/>
      <c r="AY92" s="180"/>
      <c r="AZ92" s="239"/>
      <c r="BA92" s="108"/>
      <c r="BB92" s="108"/>
    </row>
    <row r="93" spans="4:54" ht="15" hidden="1">
      <c r="H93" s="126"/>
      <c r="I93" s="55"/>
      <c r="J93" s="40"/>
      <c r="K93" s="59"/>
      <c r="L93" s="55"/>
      <c r="M93" s="42"/>
      <c r="N93" s="42"/>
      <c r="O93" s="42"/>
      <c r="P93" s="55"/>
      <c r="Q93" s="40"/>
      <c r="R93" s="55"/>
      <c r="S93" s="55"/>
      <c r="T93" s="42"/>
      <c r="U93" s="42"/>
      <c r="V93" s="56"/>
      <c r="W93" s="50"/>
      <c r="X93" s="48"/>
      <c r="Y93" s="331"/>
      <c r="Z93" s="331"/>
      <c r="AA93" s="331"/>
      <c r="AB93" s="331"/>
      <c r="AC93" s="331"/>
      <c r="AD93" s="54"/>
      <c r="AE93" s="113"/>
      <c r="AN93" s="250"/>
      <c r="AO93" s="294"/>
      <c r="AP93" s="294"/>
      <c r="AQ93" s="237"/>
      <c r="AR93" s="238"/>
      <c r="AS93" s="294"/>
      <c r="AT93" s="239"/>
      <c r="AU93" s="180"/>
      <c r="AV93" s="180"/>
      <c r="AW93" s="239"/>
      <c r="AX93" s="180"/>
      <c r="AY93" s="180"/>
      <c r="AZ93" s="239"/>
      <c r="BA93" s="108"/>
      <c r="BB93" s="108"/>
    </row>
    <row r="94" spans="4:54" ht="15" hidden="1">
      <c r="H94" s="126"/>
      <c r="I94" s="317" t="str">
        <f>IF(R15="","4º  do Grupo C",R15)</f>
        <v>4º  do Grupo C</v>
      </c>
      <c r="J94" s="317"/>
      <c r="K94" s="318"/>
      <c r="L94" s="69"/>
      <c r="M94" s="69"/>
      <c r="N94" s="70"/>
      <c r="O94" s="38" t="str">
        <f>IF(COUNT(L94:N94)&lt;1,"",IF(SUM(IF(L94&gt;L98,1,0),IF(M94&gt;M98,1,0),IF(N94&gt;N98,1,0))&gt;2,"??",SUM(IF(L94&gt;L98,1,0),IF(M94&gt;M98,1,0),IF(N94&gt;N98,1,0))))</f>
        <v/>
      </c>
      <c r="P94" s="319" t="str">
        <f>IF(P96="Disputa 13º/14º Jogador2","Disputa 15º/16º  Jogador2",IF(P96=I94,I98,I94))</f>
        <v>Disputa 15º/16º  Jogador2</v>
      </c>
      <c r="Q94" s="320"/>
      <c r="R94" s="321"/>
      <c r="S94" s="69"/>
      <c r="T94" s="69"/>
      <c r="U94" s="69"/>
      <c r="V94" s="49" t="str">
        <f>IF(COUNT(S94:U94)&lt;1,"",IF(SUM(IF(S90&lt;S94,1,0),IF(T90&lt;T94,1,0),IF(U90&lt;U94,1,0))&gt;2,"??",SUM(IF(S90&lt;S94,1,0),IF(T90&lt;T94,1,0),IF(U90&lt;U94,1,0))))</f>
        <v/>
      </c>
      <c r="W94" s="50"/>
      <c r="X94" s="48"/>
      <c r="Y94" s="53"/>
      <c r="Z94" s="53"/>
      <c r="AA94" s="53"/>
      <c r="AB94" s="57"/>
      <c r="AC94" s="57"/>
      <c r="AD94" s="58"/>
      <c r="AE94" s="113"/>
      <c r="AN94" s="250"/>
      <c r="AO94" s="294"/>
      <c r="AP94" s="294"/>
      <c r="AQ94" s="237"/>
      <c r="AR94" s="238"/>
      <c r="AS94" s="294"/>
      <c r="AT94" s="239"/>
      <c r="AU94" s="180"/>
      <c r="AV94" s="180"/>
      <c r="AW94" s="239"/>
      <c r="AX94" s="180"/>
      <c r="AY94" s="180"/>
      <c r="AZ94" s="239"/>
      <c r="BA94" s="108"/>
      <c r="BB94" s="108"/>
    </row>
    <row r="95" spans="4:54" hidden="1">
      <c r="H95" s="126"/>
      <c r="I95" s="55"/>
      <c r="J95" s="40"/>
      <c r="K95" s="59"/>
      <c r="L95" s="55"/>
      <c r="M95" s="41"/>
      <c r="N95" s="41"/>
      <c r="O95" s="42"/>
      <c r="P95" s="36"/>
      <c r="Q95" s="51"/>
      <c r="R95" s="46"/>
      <c r="S95" s="55"/>
      <c r="T95" s="42"/>
      <c r="U95" s="42"/>
      <c r="V95" s="67"/>
      <c r="W95" s="50"/>
      <c r="X95" s="48"/>
      <c r="Y95" s="53"/>
      <c r="Z95" s="53"/>
      <c r="AA95" s="53"/>
      <c r="AB95" s="53"/>
      <c r="AC95" s="53"/>
      <c r="AD95" s="54"/>
      <c r="AE95" s="113"/>
    </row>
    <row r="96" spans="4:54" ht="15" hidden="1">
      <c r="H96" s="126"/>
      <c r="I96" s="55"/>
      <c r="J96" s="40"/>
      <c r="K96" s="59"/>
      <c r="L96" s="55"/>
      <c r="M96" s="42"/>
      <c r="N96" s="42"/>
      <c r="O96" s="64">
        <v>42</v>
      </c>
      <c r="P96" s="322" t="str">
        <f>IF(OR(O94="",O98="")=TRUE,"Disputa 13º/14º Jogador2",IF(O94&gt;O98,I94,I98))</f>
        <v>Disputa 13º/14º Jogador2</v>
      </c>
      <c r="Q96" s="317"/>
      <c r="R96" s="317"/>
      <c r="S96" s="318"/>
      <c r="T96" s="69"/>
      <c r="U96" s="69"/>
      <c r="V96" s="69"/>
      <c r="W96" s="45" t="str">
        <f>IF(COUNT(T96:V96)&lt;1,"",IF(SUM(IF(T88&lt;T96,1,0),IF(U88&lt;U96,1,0),IF(V88&lt;V96,1,0))&gt;2,"??",SUM(IF(T88&lt;T96,1,0),IF(U88&lt;U96,1,0),IF(V88&lt;V96,1,0))))</f>
        <v/>
      </c>
      <c r="X96" s="48"/>
      <c r="Y96" s="53"/>
      <c r="Z96" s="53"/>
      <c r="AA96" s="53"/>
      <c r="AB96" s="53"/>
      <c r="AC96" s="53"/>
      <c r="AD96" s="54"/>
      <c r="AE96" s="113"/>
    </row>
    <row r="97" spans="8:94" ht="15" hidden="1" customHeight="1">
      <c r="H97" s="126"/>
      <c r="I97" s="55"/>
      <c r="J97" s="40"/>
      <c r="K97" s="59"/>
      <c r="L97" s="55"/>
      <c r="M97" s="42"/>
      <c r="N97" s="42"/>
      <c r="O97" s="42"/>
      <c r="P97" s="36"/>
      <c r="Q97" s="40"/>
      <c r="R97" s="55"/>
      <c r="S97" s="46"/>
      <c r="T97" s="55"/>
      <c r="U97" s="55"/>
      <c r="V97" s="60"/>
      <c r="W97" s="53"/>
      <c r="X97" s="48"/>
      <c r="Y97" s="53"/>
      <c r="Z97" s="53"/>
      <c r="AA97" s="53"/>
      <c r="AB97" s="53"/>
      <c r="AC97" s="53"/>
      <c r="AD97" s="54"/>
      <c r="AE97" s="113"/>
    </row>
    <row r="98" spans="8:94" ht="15" hidden="1">
      <c r="H98" s="126"/>
      <c r="I98" s="317" t="str">
        <f>IF(Y15="","4º  do Grupo D",Y15)</f>
        <v>4º  do Grupo D</v>
      </c>
      <c r="J98" s="317"/>
      <c r="K98" s="318"/>
      <c r="L98" s="69"/>
      <c r="M98" s="69"/>
      <c r="N98" s="70"/>
      <c r="O98" s="35" t="str">
        <f>IF(COUNT(L98:N98)&lt;1,"",IF(SUM(IF(L94&lt;L98,1,0),IF(M94&lt;M98,1,0),IF(N94&lt;N98,1,0))&gt;2,"??",SUM(IF(L94&lt;L98,1,0),IF(M94&lt;M98,1,0),IF(N94&lt;N98,1,0))))</f>
        <v/>
      </c>
      <c r="P98" s="36"/>
      <c r="Q98" s="40"/>
      <c r="R98" s="55"/>
      <c r="S98" s="55"/>
      <c r="T98" s="55"/>
      <c r="U98" s="55"/>
      <c r="V98" s="55"/>
      <c r="W98" s="54"/>
      <c r="X98" s="68"/>
      <c r="Y98" s="54"/>
      <c r="Z98" s="54"/>
      <c r="AA98" s="54"/>
      <c r="AB98" s="54"/>
      <c r="AC98" s="54"/>
      <c r="AD98" s="54"/>
      <c r="AE98" s="113"/>
    </row>
    <row r="99" spans="8:94" hidden="1">
      <c r="H99" s="128"/>
      <c r="I99" s="168"/>
      <c r="J99" s="169"/>
      <c r="K99" s="168"/>
      <c r="L99" s="170"/>
      <c r="M99" s="168"/>
      <c r="N99" s="168"/>
      <c r="O99" s="168"/>
      <c r="P99" s="168"/>
      <c r="Q99" s="169"/>
      <c r="R99" s="168"/>
      <c r="S99" s="168"/>
      <c r="T99" s="168"/>
      <c r="U99" s="168"/>
      <c r="V99" s="168"/>
      <c r="W99" s="122"/>
      <c r="X99" s="123"/>
      <c r="Y99" s="122"/>
      <c r="Z99" s="122"/>
      <c r="AA99" s="122"/>
      <c r="AB99" s="122"/>
      <c r="AC99" s="122"/>
      <c r="AD99" s="122"/>
      <c r="AE99" s="124"/>
    </row>
    <row r="100" spans="8:94" ht="48.75" hidden="1" customHeight="1" thickBot="1"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3"/>
      <c r="BY100" s="323"/>
      <c r="BZ100" s="323"/>
      <c r="CA100" s="323"/>
      <c r="CB100" s="323"/>
      <c r="CC100" s="323"/>
      <c r="CD100" s="323"/>
      <c r="CE100" s="323"/>
      <c r="CF100" s="323"/>
      <c r="CG100" s="323"/>
      <c r="CH100" s="323"/>
    </row>
    <row r="101" spans="8:94" ht="64.5" hidden="1" customHeight="1" thickBot="1">
      <c r="BA101" s="87"/>
      <c r="BB101" s="315" t="str">
        <f>IF(BC102="","",CONCATENATE(VLOOKUP(BC102,$CJ$102:$CP$145,2,FALSE),"  -  ",VLOOKUP(BC102,$CJ$102:$CP$145,3,FALSE),,"  -  ",VLOOKUP(BC102,$CJ$102:$CP$145,4,FALSE),"  -  ",VLOOKUP(BC102,$CJ$102:$CP$145,5,FALSE)))</f>
        <v>Iniciados  -  Singulares  -  Masculinos  -  Grupo A</v>
      </c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76"/>
      <c r="CJ101" s="132" t="s">
        <v>27</v>
      </c>
      <c r="CK101" s="132" t="s">
        <v>28</v>
      </c>
      <c r="CL101" s="132" t="s">
        <v>30</v>
      </c>
      <c r="CM101" s="132" t="s">
        <v>29</v>
      </c>
      <c r="CN101" s="132" t="s">
        <v>43</v>
      </c>
      <c r="CO101" s="132" t="s">
        <v>33</v>
      </c>
      <c r="CP101" s="132" t="s">
        <v>34</v>
      </c>
    </row>
    <row r="102" spans="8:94" ht="30" hidden="1" customHeight="1">
      <c r="BA102" s="88"/>
      <c r="BB102" s="89" t="s">
        <v>26</v>
      </c>
      <c r="BC102" s="137">
        <f>IF($AG$27="","",$AG$27)</f>
        <v>1</v>
      </c>
      <c r="BD102" s="84"/>
      <c r="BE102" s="84"/>
      <c r="BF102" s="84"/>
      <c r="BG102" s="84"/>
      <c r="BH102" s="84"/>
      <c r="BI102" s="84"/>
      <c r="BJ102" s="251" t="s">
        <v>65</v>
      </c>
      <c r="BK102" s="84"/>
      <c r="BL102" s="84"/>
      <c r="BM102" s="252"/>
      <c r="BN102" s="253"/>
      <c r="BO102" s="90"/>
      <c r="BP102" s="90"/>
      <c r="BQ102" s="90"/>
      <c r="BR102" s="91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92"/>
      <c r="CJ102" s="133">
        <f>$C$16</f>
        <v>1</v>
      </c>
      <c r="CK102" s="134" t="str">
        <f t="shared" ref="CK102:CK145" si="9">$H$2</f>
        <v>Iniciados</v>
      </c>
      <c r="CL102" s="134" t="str">
        <f t="shared" ref="CL102:CL145" si="10">$H$3</f>
        <v>Singulares</v>
      </c>
      <c r="CM102" s="134" t="str">
        <f t="shared" ref="CM102:CM145" si="11">$Q$3</f>
        <v>Masculinos</v>
      </c>
      <c r="CN102" s="134" t="str">
        <f>$C$5</f>
        <v>Grupo A</v>
      </c>
      <c r="CO102" s="134" t="str">
        <f>$D$16</f>
        <v>Francisco Moreira (DSRNorte)</v>
      </c>
      <c r="CP102" s="134" t="str">
        <f>$D$17</f>
        <v/>
      </c>
    </row>
    <row r="103" spans="8:94" ht="7.5" hidden="1" customHeight="1">
      <c r="BA103" s="88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92"/>
      <c r="CJ103" s="135">
        <f>$C$18</f>
        <v>2</v>
      </c>
      <c r="CK103" s="135" t="str">
        <f t="shared" si="9"/>
        <v>Iniciados</v>
      </c>
      <c r="CL103" s="135" t="str">
        <f t="shared" si="10"/>
        <v>Singulares</v>
      </c>
      <c r="CM103" s="135" t="str">
        <f t="shared" si="11"/>
        <v>Masculinos</v>
      </c>
      <c r="CN103" s="135" t="str">
        <f>$C$5</f>
        <v>Grupo A</v>
      </c>
      <c r="CO103" s="135" t="str">
        <f>$D$18</f>
        <v>Vasco Murteira (DSRLisboa)</v>
      </c>
      <c r="CP103" s="135" t="str">
        <f>$D$19</f>
        <v>Simão Boavista (DSRAlentejo)</v>
      </c>
    </row>
    <row r="104" spans="8:94" ht="17.25" hidden="1" customHeight="1" thickBot="1">
      <c r="BA104" s="88"/>
      <c r="BB104" s="316" t="s">
        <v>35</v>
      </c>
      <c r="BC104" s="316"/>
      <c r="BD104" s="93" t="s">
        <v>21</v>
      </c>
      <c r="BE104" s="93"/>
      <c r="BF104" s="93"/>
      <c r="BG104" s="93" t="s">
        <v>22</v>
      </c>
      <c r="BH104" s="93"/>
      <c r="BI104" s="93"/>
      <c r="BJ104" s="93" t="s">
        <v>23</v>
      </c>
      <c r="BK104" s="93"/>
      <c r="BL104" s="93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92"/>
      <c r="CJ104" s="135">
        <f>$J$16</f>
        <v>3</v>
      </c>
      <c r="CK104" s="135" t="str">
        <f t="shared" si="9"/>
        <v>Iniciados</v>
      </c>
      <c r="CL104" s="135" t="str">
        <f t="shared" si="10"/>
        <v>Singulares</v>
      </c>
      <c r="CM104" s="135" t="str">
        <f t="shared" si="11"/>
        <v>Masculinos</v>
      </c>
      <c r="CN104" s="135" t="str">
        <f>$J$5</f>
        <v>Grupo B</v>
      </c>
      <c r="CO104" s="135" t="str">
        <f>$K$16</f>
        <v>Pedro Nunes (DSRCentro)</v>
      </c>
      <c r="CP104" s="135" t="str">
        <f>$K$17</f>
        <v/>
      </c>
    </row>
    <row r="105" spans="8:94" ht="19.5" hidden="1" customHeight="1">
      <c r="BA105" s="88"/>
      <c r="BB105" s="302" t="str">
        <f>IF(BC102="","",VLOOKUP(BC102,$CJ$102:$CP$145,6,FALSE))</f>
        <v>Francisco Moreira (DSRNorte)</v>
      </c>
      <c r="BC105" s="303"/>
      <c r="BD105" s="302"/>
      <c r="BE105" s="306"/>
      <c r="BF105" s="303"/>
      <c r="BG105" s="302"/>
      <c r="BH105" s="306"/>
      <c r="BI105" s="303"/>
      <c r="BJ105" s="302"/>
      <c r="BK105" s="306"/>
      <c r="BL105" s="303"/>
      <c r="BM105" s="72"/>
      <c r="BN105" s="72"/>
      <c r="BO105" s="308"/>
      <c r="BP105" s="308"/>
      <c r="BQ105" s="308"/>
      <c r="BR105" s="94"/>
      <c r="BS105" s="95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92"/>
      <c r="CJ105" s="135">
        <f>$J$18</f>
        <v>4</v>
      </c>
      <c r="CK105" s="135" t="str">
        <f t="shared" si="9"/>
        <v>Iniciados</v>
      </c>
      <c r="CL105" s="135" t="str">
        <f t="shared" si="10"/>
        <v>Singulares</v>
      </c>
      <c r="CM105" s="135" t="str">
        <f t="shared" si="11"/>
        <v>Masculinos</v>
      </c>
      <c r="CN105" s="135" t="str">
        <f>$J$5</f>
        <v>Grupo B</v>
      </c>
      <c r="CO105" s="135" t="str">
        <f>$K$18</f>
        <v>Francisco Seita (DSRLisboa)</v>
      </c>
      <c r="CP105" s="135" t="str">
        <f>$K$19</f>
        <v>Alexandre Tavares (DSRNorte)</v>
      </c>
    </row>
    <row r="106" spans="8:94" ht="19.5" hidden="1" customHeight="1" thickBot="1">
      <c r="BA106" s="88"/>
      <c r="BB106" s="304"/>
      <c r="BC106" s="305"/>
      <c r="BD106" s="304"/>
      <c r="BE106" s="307"/>
      <c r="BF106" s="305"/>
      <c r="BG106" s="304"/>
      <c r="BH106" s="307"/>
      <c r="BI106" s="305"/>
      <c r="BJ106" s="304"/>
      <c r="BK106" s="307"/>
      <c r="BL106" s="305"/>
      <c r="BM106" s="72"/>
      <c r="BN106" s="72"/>
      <c r="BO106" s="308"/>
      <c r="BP106" s="308"/>
      <c r="BQ106" s="308"/>
      <c r="BR106" s="94"/>
      <c r="BS106" s="95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92"/>
      <c r="CJ106" s="135">
        <f>$Q$16</f>
        <v>5</v>
      </c>
      <c r="CK106" s="135" t="str">
        <f t="shared" si="9"/>
        <v>Iniciados</v>
      </c>
      <c r="CL106" s="135" t="str">
        <f t="shared" si="10"/>
        <v>Singulares</v>
      </c>
      <c r="CM106" s="135" t="str">
        <f t="shared" si="11"/>
        <v>Masculinos</v>
      </c>
      <c r="CN106" s="135" t="str">
        <f>$Q$5</f>
        <v>Grupo C</v>
      </c>
      <c r="CO106" s="135" t="str">
        <f>$R$16</f>
        <v>Gonçalo Gomes (DSRLisboa)</v>
      </c>
      <c r="CP106" s="135" t="str">
        <f>$R$17</f>
        <v/>
      </c>
    </row>
    <row r="107" spans="8:94" ht="19.5" hidden="1" customHeight="1">
      <c r="BA107" s="88"/>
      <c r="BB107" s="302" t="str">
        <f>IF(BC102="","",VLOOKUP(BC102,$CJ$102:$CP$145,7,FALSE))</f>
        <v/>
      </c>
      <c r="BC107" s="303"/>
      <c r="BD107" s="302"/>
      <c r="BE107" s="306"/>
      <c r="BF107" s="303"/>
      <c r="BG107" s="302"/>
      <c r="BH107" s="306"/>
      <c r="BI107" s="303"/>
      <c r="BJ107" s="302"/>
      <c r="BK107" s="306"/>
      <c r="BL107" s="303"/>
      <c r="BM107" s="72"/>
      <c r="BN107" s="72"/>
      <c r="BO107" s="308"/>
      <c r="BP107" s="308"/>
      <c r="BQ107" s="308"/>
      <c r="BR107" s="94"/>
      <c r="BS107" s="95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92"/>
      <c r="CJ107" s="135">
        <f>$Q$18</f>
        <v>6</v>
      </c>
      <c r="CK107" s="135" t="str">
        <f t="shared" si="9"/>
        <v>Iniciados</v>
      </c>
      <c r="CL107" s="135" t="str">
        <f t="shared" si="10"/>
        <v>Singulares</v>
      </c>
      <c r="CM107" s="135" t="str">
        <f t="shared" si="11"/>
        <v>Masculinos</v>
      </c>
      <c r="CN107" s="135" t="str">
        <f>$Q$5</f>
        <v>Grupo C</v>
      </c>
      <c r="CO107" s="135" t="str">
        <f>$R$18</f>
        <v>Paulo Gonçalves (DSRNorte)</v>
      </c>
      <c r="CP107" s="135" t="str">
        <f>$R$19</f>
        <v>Rafael Riscado (DSRCentro)</v>
      </c>
    </row>
    <row r="108" spans="8:94" ht="19.5" hidden="1" customHeight="1" thickBot="1">
      <c r="BA108" s="88"/>
      <c r="BB108" s="304"/>
      <c r="BC108" s="305"/>
      <c r="BD108" s="304"/>
      <c r="BE108" s="307"/>
      <c r="BF108" s="305"/>
      <c r="BG108" s="304"/>
      <c r="BH108" s="307"/>
      <c r="BI108" s="305"/>
      <c r="BJ108" s="304"/>
      <c r="BK108" s="307"/>
      <c r="BL108" s="305"/>
      <c r="BM108" s="72"/>
      <c r="BN108" s="72"/>
      <c r="BO108" s="308"/>
      <c r="BP108" s="308"/>
      <c r="BQ108" s="308"/>
      <c r="BR108" s="96"/>
      <c r="BS108" s="95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92"/>
      <c r="CJ108" s="135">
        <f>$X$16</f>
        <v>7</v>
      </c>
      <c r="CK108" s="135" t="str">
        <f t="shared" si="9"/>
        <v>Iniciados</v>
      </c>
      <c r="CL108" s="135" t="str">
        <f t="shared" si="10"/>
        <v>Singulares</v>
      </c>
      <c r="CM108" s="135" t="str">
        <f t="shared" si="11"/>
        <v>Masculinos</v>
      </c>
      <c r="CN108" s="135" t="str">
        <f>$X$5</f>
        <v>Grupo D</v>
      </c>
      <c r="CO108" s="135" t="str">
        <f>$Y$16</f>
        <v>David Duarte (DSRAlgarve)</v>
      </c>
      <c r="CP108" s="135" t="str">
        <f>$Y$17</f>
        <v/>
      </c>
    </row>
    <row r="109" spans="8:94" ht="22.5" hidden="1" customHeight="1" thickBot="1">
      <c r="BA109" s="88"/>
      <c r="BB109" s="97" t="s">
        <v>24</v>
      </c>
      <c r="BC109" s="309"/>
      <c r="BD109" s="310"/>
      <c r="BE109" s="310"/>
      <c r="BF109" s="310"/>
      <c r="BG109" s="311"/>
      <c r="BH109" s="311"/>
      <c r="BI109" s="311"/>
      <c r="BJ109" s="311"/>
      <c r="BK109" s="311"/>
      <c r="BL109" s="311"/>
      <c r="BM109" s="312"/>
      <c r="BN109" s="313"/>
      <c r="BO109" s="313"/>
      <c r="BP109" s="313"/>
      <c r="BQ109" s="313"/>
      <c r="BR109" s="95"/>
      <c r="BS109" s="95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92"/>
      <c r="CJ109" s="135">
        <f>$X$18</f>
        <v>8</v>
      </c>
      <c r="CK109" s="135" t="str">
        <f t="shared" si="9"/>
        <v>Iniciados</v>
      </c>
      <c r="CL109" s="135" t="str">
        <f t="shared" si="10"/>
        <v>Singulares</v>
      </c>
      <c r="CM109" s="135" t="str">
        <f t="shared" si="11"/>
        <v>Masculinos</v>
      </c>
      <c r="CN109" s="135" t="str">
        <f>$X$5</f>
        <v>Grupo D</v>
      </c>
      <c r="CO109" s="135" t="str">
        <f>$Y$18</f>
        <v>Rodrigo Ribeiro (DSRLisboa)</v>
      </c>
      <c r="CP109" s="135" t="str">
        <f>$Y$19</f>
        <v>Helder Ribeiro (DSRNorte)</v>
      </c>
    </row>
    <row r="110" spans="8:94" ht="18.75" hidden="1" customHeight="1">
      <c r="BA110" s="88"/>
      <c r="BB110" s="73" t="s">
        <v>35</v>
      </c>
      <c r="BC110" s="73"/>
      <c r="BD110" s="73"/>
      <c r="BE110" s="73"/>
      <c r="BF110" s="73"/>
      <c r="BG110" s="73"/>
      <c r="BH110" s="7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92"/>
      <c r="CJ110" s="135">
        <f>$C$20</f>
        <v>9</v>
      </c>
      <c r="CK110" s="135" t="str">
        <f t="shared" si="9"/>
        <v>Iniciados</v>
      </c>
      <c r="CL110" s="135" t="str">
        <f t="shared" si="10"/>
        <v>Singulares</v>
      </c>
      <c r="CM110" s="135" t="str">
        <f t="shared" si="11"/>
        <v>Masculinos</v>
      </c>
      <c r="CN110" s="135" t="str">
        <f>$C$5</f>
        <v>Grupo A</v>
      </c>
      <c r="CO110" s="135" t="str">
        <f>$D$20</f>
        <v/>
      </c>
      <c r="CP110" s="135" t="str">
        <f>$D$21</f>
        <v>Simão Boavista (DSRAlentejo)</v>
      </c>
    </row>
    <row r="111" spans="8:94" ht="15" hidden="1" customHeight="1">
      <c r="BA111" s="88"/>
      <c r="BB111" s="298" t="str">
        <f>IF($BB$105="","",$BB$105)</f>
        <v>Francisco Moreira (DSRNorte)</v>
      </c>
      <c r="BC111" s="299"/>
      <c r="BD111" s="74"/>
      <c r="BE111" s="75"/>
      <c r="BF111" s="75"/>
      <c r="BG111" s="75"/>
      <c r="BH111" s="75"/>
      <c r="BI111" s="75"/>
      <c r="BJ111" s="75"/>
      <c r="BK111" s="75"/>
      <c r="BL111" s="75"/>
      <c r="BM111" s="76"/>
      <c r="BN111" s="254"/>
      <c r="BO111" s="256"/>
      <c r="BP111" s="77"/>
      <c r="BQ111" s="77"/>
      <c r="BR111" s="77"/>
      <c r="BS111" s="78"/>
      <c r="BT111" s="75"/>
      <c r="BU111" s="75"/>
      <c r="BV111" s="75"/>
      <c r="BW111" s="75"/>
      <c r="BX111" s="254"/>
      <c r="BY111" s="76"/>
      <c r="BZ111" s="75"/>
      <c r="CA111" s="75"/>
      <c r="CB111" s="75"/>
      <c r="CC111" s="75"/>
      <c r="CD111" s="75"/>
      <c r="CE111" s="75"/>
      <c r="CF111" s="75"/>
      <c r="CG111" s="75"/>
      <c r="CH111" s="92"/>
      <c r="CJ111" s="135">
        <f>$C$22</f>
        <v>10</v>
      </c>
      <c r="CK111" s="135" t="str">
        <f t="shared" si="9"/>
        <v>Iniciados</v>
      </c>
      <c r="CL111" s="135" t="str">
        <f t="shared" si="10"/>
        <v>Singulares</v>
      </c>
      <c r="CM111" s="135" t="str">
        <f t="shared" si="11"/>
        <v>Masculinos</v>
      </c>
      <c r="CN111" s="135" t="str">
        <f>$C$5</f>
        <v>Grupo A</v>
      </c>
      <c r="CO111" s="135" t="str">
        <f>$D$22</f>
        <v>Francisco Moreira (DSRNorte)</v>
      </c>
      <c r="CP111" s="135" t="str">
        <f>$D$23</f>
        <v>Vasco Murteira (DSRLisboa)</v>
      </c>
    </row>
    <row r="112" spans="8:94" ht="15" hidden="1" customHeight="1">
      <c r="BA112" s="88"/>
      <c r="BB112" s="300"/>
      <c r="BC112" s="301"/>
      <c r="BD112" s="79"/>
      <c r="BE112" s="80"/>
      <c r="BF112" s="80"/>
      <c r="BG112" s="80"/>
      <c r="BH112" s="80"/>
      <c r="BI112" s="80"/>
      <c r="BJ112" s="80"/>
      <c r="BK112" s="80"/>
      <c r="BL112" s="80"/>
      <c r="BM112" s="81"/>
      <c r="BN112" s="255"/>
      <c r="BO112" s="257"/>
      <c r="BP112" s="82"/>
      <c r="BQ112" s="82"/>
      <c r="BR112" s="82"/>
      <c r="BS112" s="83"/>
      <c r="BT112" s="80"/>
      <c r="BU112" s="80"/>
      <c r="BV112" s="80"/>
      <c r="BW112" s="80"/>
      <c r="BX112" s="255"/>
      <c r="BY112" s="81"/>
      <c r="BZ112" s="80"/>
      <c r="CA112" s="80"/>
      <c r="CB112" s="80"/>
      <c r="CC112" s="80"/>
      <c r="CD112" s="80"/>
      <c r="CE112" s="80"/>
      <c r="CF112" s="80"/>
      <c r="CG112" s="80"/>
      <c r="CH112" s="98" t="s">
        <v>1</v>
      </c>
      <c r="CJ112" s="135">
        <f>$J$20</f>
        <v>11</v>
      </c>
      <c r="CK112" s="135" t="str">
        <f t="shared" si="9"/>
        <v>Iniciados</v>
      </c>
      <c r="CL112" s="135" t="str">
        <f t="shared" si="10"/>
        <v>Singulares</v>
      </c>
      <c r="CM112" s="135" t="str">
        <f t="shared" si="11"/>
        <v>Masculinos</v>
      </c>
      <c r="CN112" s="135" t="str">
        <f>$J$5</f>
        <v>Grupo B</v>
      </c>
      <c r="CO112" s="135" t="str">
        <f>$K$20</f>
        <v/>
      </c>
      <c r="CP112" s="135" t="str">
        <f>$K$21</f>
        <v>Alexandre Tavares (DSRNorte)</v>
      </c>
    </row>
    <row r="113" spans="53:94" ht="15" hidden="1" customHeight="1">
      <c r="BA113" s="88"/>
      <c r="BB113" s="298" t="str">
        <f>IF($BB$107="","",$BB$107)</f>
        <v/>
      </c>
      <c r="BC113" s="299"/>
      <c r="BD113" s="74"/>
      <c r="BE113" s="75"/>
      <c r="BF113" s="75"/>
      <c r="BG113" s="75"/>
      <c r="BH113" s="75"/>
      <c r="BI113" s="75"/>
      <c r="BJ113" s="75"/>
      <c r="BK113" s="75"/>
      <c r="BL113" s="75"/>
      <c r="BM113" s="76"/>
      <c r="BN113" s="254"/>
      <c r="BO113" s="256"/>
      <c r="BP113" s="77"/>
      <c r="BQ113" s="77"/>
      <c r="BR113" s="77"/>
      <c r="BS113" s="78"/>
      <c r="BT113" s="75"/>
      <c r="BU113" s="75"/>
      <c r="BV113" s="75"/>
      <c r="BW113" s="75"/>
      <c r="BX113" s="254"/>
      <c r="BY113" s="76"/>
      <c r="BZ113" s="75"/>
      <c r="CA113" s="75"/>
      <c r="CB113" s="75"/>
      <c r="CC113" s="75"/>
      <c r="CD113" s="75"/>
      <c r="CE113" s="75"/>
      <c r="CF113" s="75"/>
      <c r="CG113" s="75"/>
      <c r="CH113" s="99"/>
      <c r="CJ113" s="135">
        <f>$J$22</f>
        <v>12</v>
      </c>
      <c r="CK113" s="135" t="str">
        <f t="shared" si="9"/>
        <v>Iniciados</v>
      </c>
      <c r="CL113" s="135" t="str">
        <f t="shared" si="10"/>
        <v>Singulares</v>
      </c>
      <c r="CM113" s="135" t="str">
        <f t="shared" si="11"/>
        <v>Masculinos</v>
      </c>
      <c r="CN113" s="135" t="str">
        <f>$J$5</f>
        <v>Grupo B</v>
      </c>
      <c r="CO113" s="135" t="str">
        <f>$K$22</f>
        <v>Pedro Nunes (DSRCentro)</v>
      </c>
      <c r="CP113" s="135" t="str">
        <f>$K$23</f>
        <v>Francisco Seita (DSRLisboa)</v>
      </c>
    </row>
    <row r="114" spans="53:94" ht="15" hidden="1" customHeight="1">
      <c r="BA114" s="88"/>
      <c r="BB114" s="300"/>
      <c r="BC114" s="301"/>
      <c r="BD114" s="79"/>
      <c r="BE114" s="80"/>
      <c r="BF114" s="80"/>
      <c r="BG114" s="80"/>
      <c r="BH114" s="80"/>
      <c r="BI114" s="80"/>
      <c r="BJ114" s="80"/>
      <c r="BK114" s="80"/>
      <c r="BL114" s="80"/>
      <c r="BM114" s="81"/>
      <c r="BN114" s="255"/>
      <c r="BO114" s="257"/>
      <c r="BP114" s="82"/>
      <c r="BQ114" s="82"/>
      <c r="BR114" s="82"/>
      <c r="BS114" s="83"/>
      <c r="BT114" s="80"/>
      <c r="BU114" s="80"/>
      <c r="BV114" s="80"/>
      <c r="BW114" s="80"/>
      <c r="BX114" s="255"/>
      <c r="BY114" s="81"/>
      <c r="BZ114" s="80"/>
      <c r="CA114" s="80"/>
      <c r="CB114" s="80"/>
      <c r="CC114" s="80"/>
      <c r="CD114" s="80"/>
      <c r="CE114" s="80"/>
      <c r="CF114" s="80"/>
      <c r="CG114" s="80"/>
      <c r="CH114" s="92"/>
      <c r="CJ114" s="135">
        <f>$Q$20</f>
        <v>13</v>
      </c>
      <c r="CK114" s="135" t="str">
        <f t="shared" si="9"/>
        <v>Iniciados</v>
      </c>
      <c r="CL114" s="135" t="str">
        <f t="shared" si="10"/>
        <v>Singulares</v>
      </c>
      <c r="CM114" s="135" t="str">
        <f t="shared" si="11"/>
        <v>Masculinos</v>
      </c>
      <c r="CN114" s="135" t="str">
        <f>$Q$5</f>
        <v>Grupo C</v>
      </c>
      <c r="CO114" s="135" t="str">
        <f>$R$20</f>
        <v/>
      </c>
      <c r="CP114" s="135" t="str">
        <f>$R$21</f>
        <v>Rafael Riscado (DSRCentro)</v>
      </c>
    </row>
    <row r="115" spans="53:94" ht="12.75" hidden="1" customHeight="1">
      <c r="BA115" s="88"/>
      <c r="BB115" s="84"/>
      <c r="BC115" s="84"/>
      <c r="BD115" s="100">
        <v>1</v>
      </c>
      <c r="BE115" s="100">
        <v>2</v>
      </c>
      <c r="BF115" s="100">
        <v>3</v>
      </c>
      <c r="BG115" s="100">
        <v>4</v>
      </c>
      <c r="BH115" s="100">
        <v>5</v>
      </c>
      <c r="BI115" s="100">
        <v>6</v>
      </c>
      <c r="BJ115" s="100">
        <v>7</v>
      </c>
      <c r="BK115" s="100">
        <v>8</v>
      </c>
      <c r="BL115" s="100">
        <v>9</v>
      </c>
      <c r="BM115" s="100">
        <v>10</v>
      </c>
      <c r="BN115" s="100">
        <v>11</v>
      </c>
      <c r="BO115" s="100">
        <v>12</v>
      </c>
      <c r="BP115" s="100">
        <v>13</v>
      </c>
      <c r="BQ115" s="100">
        <v>14</v>
      </c>
      <c r="BR115" s="100">
        <v>15</v>
      </c>
      <c r="BS115" s="100">
        <v>16</v>
      </c>
      <c r="BT115" s="100">
        <v>17</v>
      </c>
      <c r="BU115" s="100">
        <v>18</v>
      </c>
      <c r="BV115" s="100">
        <v>19</v>
      </c>
      <c r="BW115" s="100">
        <v>20</v>
      </c>
      <c r="BX115" s="100">
        <v>21</v>
      </c>
      <c r="BY115" s="100">
        <v>22</v>
      </c>
      <c r="BZ115" s="100">
        <v>23</v>
      </c>
      <c r="CA115" s="100">
        <v>24</v>
      </c>
      <c r="CB115" s="100">
        <v>25</v>
      </c>
      <c r="CC115" s="100">
        <v>26</v>
      </c>
      <c r="CD115" s="100">
        <v>27</v>
      </c>
      <c r="CE115" s="100">
        <v>28</v>
      </c>
      <c r="CF115" s="100">
        <v>29</v>
      </c>
      <c r="CG115" s="100">
        <v>30</v>
      </c>
      <c r="CH115" s="101"/>
      <c r="CJ115" s="135">
        <f>$Q$22</f>
        <v>14</v>
      </c>
      <c r="CK115" s="135" t="str">
        <f t="shared" si="9"/>
        <v>Iniciados</v>
      </c>
      <c r="CL115" s="135" t="str">
        <f t="shared" si="10"/>
        <v>Singulares</v>
      </c>
      <c r="CM115" s="135" t="str">
        <f t="shared" si="11"/>
        <v>Masculinos</v>
      </c>
      <c r="CN115" s="135" t="str">
        <f>$Q$5</f>
        <v>Grupo C</v>
      </c>
      <c r="CO115" s="135" t="str">
        <f>$R$22</f>
        <v>Gonçalo Gomes (DSRLisboa)</v>
      </c>
      <c r="CP115" s="135" t="str">
        <f>$R$23</f>
        <v>Paulo Gonçalves (DSRNorte)</v>
      </c>
    </row>
    <row r="116" spans="53:94" ht="15" hidden="1" customHeight="1">
      <c r="BA116" s="88"/>
      <c r="BB116" s="298" t="str">
        <f>IF($BB$105="","",$BB$105)</f>
        <v>Francisco Moreira (DSRNorte)</v>
      </c>
      <c r="BC116" s="299"/>
      <c r="BD116" s="74"/>
      <c r="BE116" s="75"/>
      <c r="BF116" s="75"/>
      <c r="BG116" s="75"/>
      <c r="BH116" s="75"/>
      <c r="BI116" s="75"/>
      <c r="BJ116" s="75"/>
      <c r="BK116" s="75"/>
      <c r="BL116" s="75"/>
      <c r="BM116" s="76"/>
      <c r="BN116" s="254"/>
      <c r="BO116" s="256"/>
      <c r="BP116" s="77"/>
      <c r="BQ116" s="77"/>
      <c r="BR116" s="77"/>
      <c r="BS116" s="78"/>
      <c r="BT116" s="75"/>
      <c r="BU116" s="75"/>
      <c r="BV116" s="75"/>
      <c r="BW116" s="75"/>
      <c r="BX116" s="254"/>
      <c r="BY116" s="76"/>
      <c r="BZ116" s="75"/>
      <c r="CA116" s="75"/>
      <c r="CB116" s="75"/>
      <c r="CC116" s="75"/>
      <c r="CD116" s="75"/>
      <c r="CE116" s="75"/>
      <c r="CF116" s="75"/>
      <c r="CG116" s="75"/>
      <c r="CH116" s="92"/>
      <c r="CJ116" s="135">
        <f>$X$20</f>
        <v>15</v>
      </c>
      <c r="CK116" s="135" t="str">
        <f t="shared" si="9"/>
        <v>Iniciados</v>
      </c>
      <c r="CL116" s="135" t="str">
        <f t="shared" si="10"/>
        <v>Singulares</v>
      </c>
      <c r="CM116" s="135" t="str">
        <f t="shared" si="11"/>
        <v>Masculinos</v>
      </c>
      <c r="CN116" s="135" t="str">
        <f>$X$5</f>
        <v>Grupo D</v>
      </c>
      <c r="CO116" s="135" t="str">
        <f>$Y$20</f>
        <v/>
      </c>
      <c r="CP116" s="135" t="str">
        <f>$Y$21</f>
        <v>Helder Ribeiro (DSRNorte)</v>
      </c>
    </row>
    <row r="117" spans="53:94" ht="15" hidden="1" customHeight="1">
      <c r="BA117" s="88"/>
      <c r="BB117" s="300"/>
      <c r="BC117" s="301"/>
      <c r="BD117" s="79"/>
      <c r="BE117" s="80"/>
      <c r="BF117" s="80"/>
      <c r="BG117" s="80"/>
      <c r="BH117" s="80"/>
      <c r="BI117" s="80"/>
      <c r="BJ117" s="80"/>
      <c r="BK117" s="80"/>
      <c r="BL117" s="80"/>
      <c r="BM117" s="81"/>
      <c r="BN117" s="255"/>
      <c r="BO117" s="257"/>
      <c r="BP117" s="82"/>
      <c r="BQ117" s="82"/>
      <c r="BR117" s="82"/>
      <c r="BS117" s="83"/>
      <c r="BT117" s="80"/>
      <c r="BU117" s="80"/>
      <c r="BV117" s="80"/>
      <c r="BW117" s="80"/>
      <c r="BX117" s="255"/>
      <c r="BY117" s="81"/>
      <c r="BZ117" s="80"/>
      <c r="CA117" s="80"/>
      <c r="CB117" s="80"/>
      <c r="CC117" s="80"/>
      <c r="CD117" s="80"/>
      <c r="CE117" s="80"/>
      <c r="CF117" s="80"/>
      <c r="CG117" s="80"/>
      <c r="CH117" s="92"/>
      <c r="CJ117" s="135">
        <f>$X$22</f>
        <v>16</v>
      </c>
      <c r="CK117" s="135" t="str">
        <f t="shared" si="9"/>
        <v>Iniciados</v>
      </c>
      <c r="CL117" s="135" t="str">
        <f t="shared" si="10"/>
        <v>Singulares</v>
      </c>
      <c r="CM117" s="135" t="str">
        <f t="shared" si="11"/>
        <v>Masculinos</v>
      </c>
      <c r="CN117" s="135" t="str">
        <f>$X$5</f>
        <v>Grupo D</v>
      </c>
      <c r="CO117" s="135" t="str">
        <f>$Y$22</f>
        <v>David Duarte (DSRAlgarve)</v>
      </c>
      <c r="CP117" s="135" t="str">
        <f>$Y$23</f>
        <v>Rodrigo Ribeiro (DSRLisboa)</v>
      </c>
    </row>
    <row r="118" spans="53:94" ht="15" hidden="1" customHeight="1">
      <c r="BA118" s="88"/>
      <c r="BB118" s="298" t="str">
        <f>IF($BB$107="","",$BB$107)</f>
        <v/>
      </c>
      <c r="BC118" s="299"/>
      <c r="BD118" s="74"/>
      <c r="BE118" s="75"/>
      <c r="BF118" s="75"/>
      <c r="BG118" s="75"/>
      <c r="BH118" s="75"/>
      <c r="BI118" s="75"/>
      <c r="BJ118" s="75"/>
      <c r="BK118" s="75"/>
      <c r="BL118" s="75"/>
      <c r="BM118" s="76"/>
      <c r="BN118" s="254"/>
      <c r="BO118" s="256"/>
      <c r="BP118" s="77"/>
      <c r="BQ118" s="77"/>
      <c r="BR118" s="77"/>
      <c r="BS118" s="78"/>
      <c r="BT118" s="75"/>
      <c r="BU118" s="75"/>
      <c r="BV118" s="75"/>
      <c r="BW118" s="75"/>
      <c r="BX118" s="254"/>
      <c r="BY118" s="76"/>
      <c r="BZ118" s="75"/>
      <c r="CA118" s="75"/>
      <c r="CB118" s="75"/>
      <c r="CC118" s="75"/>
      <c r="CD118" s="75"/>
      <c r="CE118" s="75"/>
      <c r="CF118" s="75"/>
      <c r="CG118" s="75"/>
      <c r="CH118" s="98" t="s">
        <v>2</v>
      </c>
      <c r="CJ118" s="135">
        <f>$C$24</f>
        <v>17</v>
      </c>
      <c r="CK118" s="135" t="str">
        <f t="shared" si="9"/>
        <v>Iniciados</v>
      </c>
      <c r="CL118" s="135" t="str">
        <f t="shared" si="10"/>
        <v>Singulares</v>
      </c>
      <c r="CM118" s="135" t="str">
        <f t="shared" si="11"/>
        <v>Masculinos</v>
      </c>
      <c r="CN118" s="135" t="str">
        <f>$C$5</f>
        <v>Grupo A</v>
      </c>
      <c r="CO118" s="135" t="str">
        <f>$D$24</f>
        <v>Vasco Murteira (DSRLisboa)</v>
      </c>
      <c r="CP118" s="135" t="str">
        <f>$D$25</f>
        <v/>
      </c>
    </row>
    <row r="119" spans="53:94" ht="15" hidden="1" customHeight="1">
      <c r="BA119" s="88"/>
      <c r="BB119" s="300"/>
      <c r="BC119" s="301"/>
      <c r="BD119" s="79"/>
      <c r="BE119" s="80"/>
      <c r="BF119" s="80"/>
      <c r="BG119" s="80"/>
      <c r="BH119" s="80"/>
      <c r="BI119" s="80"/>
      <c r="BJ119" s="80"/>
      <c r="BK119" s="80"/>
      <c r="BL119" s="80"/>
      <c r="BM119" s="81"/>
      <c r="BN119" s="255"/>
      <c r="BO119" s="257"/>
      <c r="BP119" s="82"/>
      <c r="BQ119" s="82"/>
      <c r="BR119" s="82"/>
      <c r="BS119" s="83"/>
      <c r="BT119" s="80"/>
      <c r="BU119" s="80"/>
      <c r="BV119" s="80"/>
      <c r="BW119" s="80"/>
      <c r="BX119" s="255"/>
      <c r="BY119" s="81"/>
      <c r="BZ119" s="80"/>
      <c r="CA119" s="80"/>
      <c r="CB119" s="80"/>
      <c r="CC119" s="80"/>
      <c r="CD119" s="80"/>
      <c r="CE119" s="80"/>
      <c r="CF119" s="80"/>
      <c r="CG119" s="80"/>
      <c r="CH119" s="92"/>
      <c r="CJ119" s="135">
        <f>$C$26</f>
        <v>18</v>
      </c>
      <c r="CK119" s="135" t="str">
        <f t="shared" si="9"/>
        <v>Iniciados</v>
      </c>
      <c r="CL119" s="135" t="str">
        <f t="shared" si="10"/>
        <v>Singulares</v>
      </c>
      <c r="CM119" s="135" t="str">
        <f t="shared" si="11"/>
        <v>Masculinos</v>
      </c>
      <c r="CN119" s="135" t="str">
        <f>$C$5</f>
        <v>Grupo A</v>
      </c>
      <c r="CO119" s="135" t="str">
        <f>$D$26</f>
        <v>Simão Boavista (DSRAlentejo)</v>
      </c>
      <c r="CP119" s="135" t="str">
        <f>$D$27</f>
        <v>Francisco Moreira (DSRNorte)</v>
      </c>
    </row>
    <row r="120" spans="53:94" ht="12.75" hidden="1" customHeight="1">
      <c r="BA120" s="88"/>
      <c r="BB120" s="84"/>
      <c r="BC120" s="84"/>
      <c r="BD120" s="100">
        <v>1</v>
      </c>
      <c r="BE120" s="100">
        <v>2</v>
      </c>
      <c r="BF120" s="100">
        <v>3</v>
      </c>
      <c r="BG120" s="100">
        <v>4</v>
      </c>
      <c r="BH120" s="100">
        <v>5</v>
      </c>
      <c r="BI120" s="100">
        <v>6</v>
      </c>
      <c r="BJ120" s="100">
        <v>7</v>
      </c>
      <c r="BK120" s="100">
        <v>8</v>
      </c>
      <c r="BL120" s="100">
        <v>9</v>
      </c>
      <c r="BM120" s="100">
        <v>10</v>
      </c>
      <c r="BN120" s="100">
        <v>11</v>
      </c>
      <c r="BO120" s="100">
        <v>12</v>
      </c>
      <c r="BP120" s="100">
        <v>13</v>
      </c>
      <c r="BQ120" s="100">
        <v>14</v>
      </c>
      <c r="BR120" s="100">
        <v>15</v>
      </c>
      <c r="BS120" s="100">
        <v>16</v>
      </c>
      <c r="BT120" s="100">
        <v>17</v>
      </c>
      <c r="BU120" s="100">
        <v>18</v>
      </c>
      <c r="BV120" s="100">
        <v>19</v>
      </c>
      <c r="BW120" s="100">
        <v>20</v>
      </c>
      <c r="BX120" s="100">
        <v>21</v>
      </c>
      <c r="BY120" s="100">
        <v>22</v>
      </c>
      <c r="BZ120" s="100">
        <v>23</v>
      </c>
      <c r="CA120" s="100">
        <v>24</v>
      </c>
      <c r="CB120" s="100">
        <v>25</v>
      </c>
      <c r="CC120" s="100">
        <v>26</v>
      </c>
      <c r="CD120" s="100">
        <v>27</v>
      </c>
      <c r="CE120" s="100">
        <v>28</v>
      </c>
      <c r="CF120" s="100">
        <v>29</v>
      </c>
      <c r="CG120" s="100">
        <v>30</v>
      </c>
      <c r="CH120" s="101"/>
      <c r="CJ120" s="135">
        <f>$J$24</f>
        <v>19</v>
      </c>
      <c r="CK120" s="135" t="str">
        <f t="shared" si="9"/>
        <v>Iniciados</v>
      </c>
      <c r="CL120" s="135" t="str">
        <f t="shared" si="10"/>
        <v>Singulares</v>
      </c>
      <c r="CM120" s="135" t="str">
        <f t="shared" si="11"/>
        <v>Masculinos</v>
      </c>
      <c r="CN120" s="135" t="str">
        <f>$J$5</f>
        <v>Grupo B</v>
      </c>
      <c r="CO120" s="135" t="str">
        <f>$K$24</f>
        <v>Francisco Seita (DSRLisboa)</v>
      </c>
      <c r="CP120" s="135" t="str">
        <f>$K$25</f>
        <v/>
      </c>
    </row>
    <row r="121" spans="53:94" ht="15" hidden="1" customHeight="1">
      <c r="BA121" s="88"/>
      <c r="BB121" s="298" t="str">
        <f>IF($BB$105="","",$BB$105)</f>
        <v>Francisco Moreira (DSRNorte)</v>
      </c>
      <c r="BC121" s="299"/>
      <c r="BD121" s="74"/>
      <c r="BE121" s="75"/>
      <c r="BF121" s="75"/>
      <c r="BG121" s="75"/>
      <c r="BH121" s="75"/>
      <c r="BI121" s="75"/>
      <c r="BJ121" s="75"/>
      <c r="BK121" s="75"/>
      <c r="BL121" s="75"/>
      <c r="BM121" s="76"/>
      <c r="BN121" s="254"/>
      <c r="BO121" s="256"/>
      <c r="BP121" s="77"/>
      <c r="BQ121" s="77"/>
      <c r="BR121" s="77"/>
      <c r="BS121" s="78"/>
      <c r="BT121" s="75"/>
      <c r="BU121" s="75"/>
      <c r="BV121" s="75"/>
      <c r="BW121" s="75"/>
      <c r="BX121" s="254"/>
      <c r="BY121" s="76"/>
      <c r="BZ121" s="75"/>
      <c r="CA121" s="75"/>
      <c r="CB121" s="75"/>
      <c r="CC121" s="75"/>
      <c r="CD121" s="75"/>
      <c r="CE121" s="75"/>
      <c r="CF121" s="75"/>
      <c r="CG121" s="75"/>
      <c r="CH121" s="92"/>
      <c r="CJ121" s="135">
        <f>$J$26</f>
        <v>20</v>
      </c>
      <c r="CK121" s="135" t="str">
        <f t="shared" si="9"/>
        <v>Iniciados</v>
      </c>
      <c r="CL121" s="135" t="str">
        <f t="shared" si="10"/>
        <v>Singulares</v>
      </c>
      <c r="CM121" s="135" t="str">
        <f t="shared" si="11"/>
        <v>Masculinos</v>
      </c>
      <c r="CN121" s="135" t="str">
        <f>$J$5</f>
        <v>Grupo B</v>
      </c>
      <c r="CO121" s="135" t="str">
        <f>$K$26</f>
        <v>Alexandre Tavares (DSRNorte)</v>
      </c>
      <c r="CP121" s="135" t="str">
        <f>$K$27</f>
        <v>Pedro Nunes (DSRCentro)</v>
      </c>
    </row>
    <row r="122" spans="53:94" ht="15" hidden="1" customHeight="1">
      <c r="BA122" s="88"/>
      <c r="BB122" s="300"/>
      <c r="BC122" s="301"/>
      <c r="BD122" s="79"/>
      <c r="BE122" s="80"/>
      <c r="BF122" s="80"/>
      <c r="BG122" s="80"/>
      <c r="BH122" s="80"/>
      <c r="BI122" s="80"/>
      <c r="BJ122" s="80"/>
      <c r="BK122" s="80"/>
      <c r="BL122" s="80"/>
      <c r="BM122" s="81"/>
      <c r="BN122" s="255"/>
      <c r="BO122" s="257"/>
      <c r="BP122" s="82"/>
      <c r="BQ122" s="82"/>
      <c r="BR122" s="82"/>
      <c r="BS122" s="83"/>
      <c r="BT122" s="80"/>
      <c r="BU122" s="80"/>
      <c r="BV122" s="80"/>
      <c r="BW122" s="80"/>
      <c r="BX122" s="255"/>
      <c r="BY122" s="81"/>
      <c r="BZ122" s="80"/>
      <c r="CA122" s="80"/>
      <c r="CB122" s="80"/>
      <c r="CC122" s="80"/>
      <c r="CD122" s="80"/>
      <c r="CE122" s="80"/>
      <c r="CF122" s="80"/>
      <c r="CG122" s="80"/>
      <c r="CH122" s="92"/>
      <c r="CJ122" s="135">
        <f>$Q$24</f>
        <v>21</v>
      </c>
      <c r="CK122" s="135" t="str">
        <f t="shared" si="9"/>
        <v>Iniciados</v>
      </c>
      <c r="CL122" s="135" t="str">
        <f t="shared" si="10"/>
        <v>Singulares</v>
      </c>
      <c r="CM122" s="135" t="str">
        <f t="shared" si="11"/>
        <v>Masculinos</v>
      </c>
      <c r="CN122" s="135" t="str">
        <f>$Q$5</f>
        <v>Grupo C</v>
      </c>
      <c r="CO122" s="135" t="str">
        <f>$R$24</f>
        <v>Paulo Gonçalves (DSRNorte)</v>
      </c>
      <c r="CP122" s="135" t="str">
        <f>$R$25</f>
        <v/>
      </c>
    </row>
    <row r="123" spans="53:94" ht="15" hidden="1" customHeight="1">
      <c r="BA123" s="88"/>
      <c r="BB123" s="298" t="str">
        <f>IF($BB$107="","",$BB$107)</f>
        <v/>
      </c>
      <c r="BC123" s="299"/>
      <c r="BD123" s="74"/>
      <c r="BE123" s="75"/>
      <c r="BF123" s="75"/>
      <c r="BG123" s="75"/>
      <c r="BH123" s="75"/>
      <c r="BI123" s="75"/>
      <c r="BJ123" s="75"/>
      <c r="BK123" s="75"/>
      <c r="BL123" s="75"/>
      <c r="BM123" s="76"/>
      <c r="BN123" s="254"/>
      <c r="BO123" s="256"/>
      <c r="BP123" s="77"/>
      <c r="BQ123" s="77"/>
      <c r="BR123" s="77"/>
      <c r="BS123" s="78"/>
      <c r="BT123" s="75"/>
      <c r="BU123" s="75"/>
      <c r="BV123" s="75"/>
      <c r="BW123" s="75"/>
      <c r="BX123" s="254"/>
      <c r="BY123" s="76"/>
      <c r="BZ123" s="75"/>
      <c r="CA123" s="75"/>
      <c r="CB123" s="75"/>
      <c r="CC123" s="75"/>
      <c r="CD123" s="75"/>
      <c r="CE123" s="75"/>
      <c r="CF123" s="75"/>
      <c r="CG123" s="75"/>
      <c r="CH123" s="98" t="s">
        <v>3</v>
      </c>
      <c r="CJ123" s="135">
        <f>$Q$26</f>
        <v>22</v>
      </c>
      <c r="CK123" s="135" t="str">
        <f t="shared" si="9"/>
        <v>Iniciados</v>
      </c>
      <c r="CL123" s="135" t="str">
        <f t="shared" si="10"/>
        <v>Singulares</v>
      </c>
      <c r="CM123" s="135" t="str">
        <f t="shared" si="11"/>
        <v>Masculinos</v>
      </c>
      <c r="CN123" s="135" t="str">
        <f>$Q$5</f>
        <v>Grupo C</v>
      </c>
      <c r="CO123" s="135" t="str">
        <f>$R$26</f>
        <v>Rafael Riscado (DSRCentro)</v>
      </c>
      <c r="CP123" s="135" t="str">
        <f>$R$27</f>
        <v>Gonçalo Gomes (DSRLisboa)</v>
      </c>
    </row>
    <row r="124" spans="53:94" ht="15" hidden="1" customHeight="1">
      <c r="BA124" s="88"/>
      <c r="BB124" s="300"/>
      <c r="BC124" s="301"/>
      <c r="BD124" s="79"/>
      <c r="BE124" s="80"/>
      <c r="BF124" s="80"/>
      <c r="BG124" s="80"/>
      <c r="BH124" s="80"/>
      <c r="BI124" s="80"/>
      <c r="BJ124" s="80"/>
      <c r="BK124" s="80"/>
      <c r="BL124" s="80"/>
      <c r="BM124" s="81"/>
      <c r="BN124" s="255"/>
      <c r="BO124" s="257"/>
      <c r="BP124" s="82"/>
      <c r="BQ124" s="82"/>
      <c r="BR124" s="82"/>
      <c r="BS124" s="83"/>
      <c r="BT124" s="80"/>
      <c r="BU124" s="80"/>
      <c r="BV124" s="80"/>
      <c r="BW124" s="80"/>
      <c r="BX124" s="255"/>
      <c r="BY124" s="81"/>
      <c r="BZ124" s="80"/>
      <c r="CA124" s="80"/>
      <c r="CB124" s="80"/>
      <c r="CC124" s="80"/>
      <c r="CD124" s="80"/>
      <c r="CE124" s="80"/>
      <c r="CF124" s="80"/>
      <c r="CG124" s="80"/>
      <c r="CH124" s="92"/>
      <c r="CJ124" s="135">
        <f>$X$24</f>
        <v>23</v>
      </c>
      <c r="CK124" s="135" t="str">
        <f t="shared" si="9"/>
        <v>Iniciados</v>
      </c>
      <c r="CL124" s="135" t="str">
        <f t="shared" si="10"/>
        <v>Singulares</v>
      </c>
      <c r="CM124" s="135" t="str">
        <f t="shared" si="11"/>
        <v>Masculinos</v>
      </c>
      <c r="CN124" s="135" t="str">
        <f>$X$5</f>
        <v>Grupo D</v>
      </c>
      <c r="CO124" s="135" t="str">
        <f>$Y$24</f>
        <v>Rodrigo Ribeiro (DSRLisboa)</v>
      </c>
      <c r="CP124" s="135" t="str">
        <f>$Y$25</f>
        <v/>
      </c>
    </row>
    <row r="125" spans="53:94" ht="65.25" hidden="1" customHeight="1">
      <c r="BA125" s="102"/>
      <c r="BB125" s="103" t="s">
        <v>36</v>
      </c>
      <c r="BC125" s="104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1"/>
      <c r="CJ125" s="135">
        <f>$X$26</f>
        <v>24</v>
      </c>
      <c r="CK125" s="135" t="str">
        <f t="shared" si="9"/>
        <v>Iniciados</v>
      </c>
      <c r="CL125" s="135" t="str">
        <f t="shared" si="10"/>
        <v>Singulares</v>
      </c>
      <c r="CM125" s="135" t="str">
        <f t="shared" si="11"/>
        <v>Masculinos</v>
      </c>
      <c r="CN125" s="135" t="str">
        <f>$X$5</f>
        <v>Grupo D</v>
      </c>
      <c r="CO125" s="135" t="str">
        <f>$Y$26</f>
        <v>Helder Ribeiro (DSRNorte)</v>
      </c>
      <c r="CP125" s="135" t="str">
        <f>$Y$27</f>
        <v>David Duarte (DSRAlgarve)</v>
      </c>
    </row>
    <row r="126" spans="53:94" ht="136.5" hidden="1" customHeight="1">
      <c r="BA126" s="314" t="s">
        <v>64</v>
      </c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J126" s="135">
        <f>$H$31</f>
        <v>25</v>
      </c>
      <c r="CK126" s="135" t="str">
        <f t="shared" si="9"/>
        <v>Iniciados</v>
      </c>
      <c r="CL126" s="135" t="str">
        <f t="shared" si="10"/>
        <v>Singulares</v>
      </c>
      <c r="CM126" s="135" t="str">
        <f t="shared" si="11"/>
        <v>Masculinos</v>
      </c>
      <c r="CN126" s="135" t="str">
        <f>"1º Jogo dos 1/4 final"</f>
        <v>1º Jogo dos 1/4 final</v>
      </c>
      <c r="CO126" s="135" t="str">
        <f>$C$30</f>
        <v>1º do grupo A</v>
      </c>
      <c r="CP126" s="135" t="str">
        <f>$C$32</f>
        <v>2º do grupo B</v>
      </c>
    </row>
    <row r="127" spans="53:94" ht="64.5" hidden="1" customHeight="1">
      <c r="BA127" s="87"/>
      <c r="BB127" s="315" t="str">
        <f>IF(BC128="","",CONCATENATE(VLOOKUP(BC128,$CJ$102:$CP$145,2,FALSE),"  -  ",VLOOKUP(BC128,$CJ$102:$CP$145,3,FALSE),,"  -  ",VLOOKUP(BC128,$CJ$102:$CP$145,4,FALSE),"  -  ",VLOOKUP(BC128,$CJ$102:$CP$145,5,FALSE)))</f>
        <v>Iniciados  -  Singulares  -  Masculinos  -  Grupo A</v>
      </c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76"/>
      <c r="CJ127" s="135">
        <f>$H$35</f>
        <v>26</v>
      </c>
      <c r="CK127" s="135" t="str">
        <f t="shared" si="9"/>
        <v>Iniciados</v>
      </c>
      <c r="CL127" s="135" t="str">
        <f t="shared" si="10"/>
        <v>Singulares</v>
      </c>
      <c r="CM127" s="135" t="str">
        <f t="shared" si="11"/>
        <v>Masculinos</v>
      </c>
      <c r="CN127" s="135" t="str">
        <f>"2º Jogo dos 1/4 final"</f>
        <v>2º Jogo dos 1/4 final</v>
      </c>
      <c r="CO127" s="135" t="str">
        <f>$C$34</f>
        <v>2º do grupo D</v>
      </c>
      <c r="CP127" s="135" t="str">
        <f>$C$36</f>
        <v>1º do grupo C</v>
      </c>
    </row>
    <row r="128" spans="53:94" ht="30" hidden="1" customHeight="1">
      <c r="BA128" s="88"/>
      <c r="BB128" s="89" t="s">
        <v>26</v>
      </c>
      <c r="BC128" s="137">
        <f>IF($AI$27="","",$AI$27)</f>
        <v>2</v>
      </c>
      <c r="BD128" s="84"/>
      <c r="BE128" s="84"/>
      <c r="BF128" s="84"/>
      <c r="BG128" s="84"/>
      <c r="BH128" s="84"/>
      <c r="BI128" s="84"/>
      <c r="BJ128" s="251" t="s">
        <v>65</v>
      </c>
      <c r="BK128" s="84"/>
      <c r="BL128" s="84"/>
      <c r="BM128" s="252"/>
      <c r="BN128" s="253"/>
      <c r="BO128" s="90"/>
      <c r="BP128" s="90"/>
      <c r="BQ128" s="90"/>
      <c r="BR128" s="91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92"/>
      <c r="CJ128" s="135">
        <f>$H$39</f>
        <v>27</v>
      </c>
      <c r="CK128" s="135" t="str">
        <f t="shared" si="9"/>
        <v>Iniciados</v>
      </c>
      <c r="CL128" s="135" t="str">
        <f t="shared" si="10"/>
        <v>Singulares</v>
      </c>
      <c r="CM128" s="135" t="str">
        <f t="shared" si="11"/>
        <v>Masculinos</v>
      </c>
      <c r="CN128" s="135" t="str">
        <f>"3º Jogo dos 1/4 final"</f>
        <v>3º Jogo dos 1/4 final</v>
      </c>
      <c r="CO128" s="135" t="str">
        <f>$C$38</f>
        <v>1º do grupo B</v>
      </c>
      <c r="CP128" s="135" t="str">
        <f>$C$40</f>
        <v>2º do grupo A</v>
      </c>
    </row>
    <row r="129" spans="53:94" ht="7.5" hidden="1" customHeight="1">
      <c r="BA129" s="88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92"/>
      <c r="CJ129" s="135">
        <f>$H$43</f>
        <v>28</v>
      </c>
      <c r="CK129" s="135" t="str">
        <f t="shared" si="9"/>
        <v>Iniciados</v>
      </c>
      <c r="CL129" s="135" t="str">
        <f t="shared" si="10"/>
        <v>Singulares</v>
      </c>
      <c r="CM129" s="135" t="str">
        <f t="shared" si="11"/>
        <v>Masculinos</v>
      </c>
      <c r="CN129" s="135" t="str">
        <f>"4º Jogo dos 1/4 final"</f>
        <v>4º Jogo dos 1/4 final</v>
      </c>
      <c r="CO129" s="135" t="str">
        <f>$C$42</f>
        <v>2º do grupo C</v>
      </c>
      <c r="CP129" s="135" t="str">
        <f>$C$44</f>
        <v>1º do grupo D</v>
      </c>
    </row>
    <row r="130" spans="53:94" ht="17.25" hidden="1" customHeight="1" thickBot="1">
      <c r="BA130" s="88"/>
      <c r="BB130" s="316" t="s">
        <v>35</v>
      </c>
      <c r="BC130" s="316"/>
      <c r="BD130" s="93" t="s">
        <v>21</v>
      </c>
      <c r="BE130" s="93"/>
      <c r="BF130" s="93"/>
      <c r="BG130" s="93" t="s">
        <v>22</v>
      </c>
      <c r="BH130" s="93"/>
      <c r="BI130" s="93"/>
      <c r="BJ130" s="93" t="s">
        <v>23</v>
      </c>
      <c r="BK130" s="93"/>
      <c r="BL130" s="93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92"/>
      <c r="CJ130" s="135">
        <f>$O$33</f>
        <v>29</v>
      </c>
      <c r="CK130" s="135" t="str">
        <f t="shared" si="9"/>
        <v>Iniciados</v>
      </c>
      <c r="CL130" s="135" t="str">
        <f t="shared" si="10"/>
        <v>Singulares</v>
      </c>
      <c r="CM130" s="135" t="str">
        <f t="shared" si="11"/>
        <v>Masculinos</v>
      </c>
      <c r="CN130" s="135" t="str">
        <f>"1ª Meia Final"</f>
        <v>1ª Meia Final</v>
      </c>
      <c r="CO130" s="135" t="str">
        <f>$I$31</f>
        <v>1ª Meia Final-Jogador1</v>
      </c>
      <c r="CP130" s="135" t="str">
        <f>$I$35</f>
        <v>1ª Meia Final-Jogador2</v>
      </c>
    </row>
    <row r="131" spans="53:94" ht="19.5" hidden="1" customHeight="1">
      <c r="BA131" s="88"/>
      <c r="BB131" s="302" t="str">
        <f>IF(BC128="","",VLOOKUP(BC128,$CJ$102:$CP$145,6,FALSE))</f>
        <v>Vasco Murteira (DSRLisboa)</v>
      </c>
      <c r="BC131" s="303"/>
      <c r="BD131" s="302"/>
      <c r="BE131" s="306"/>
      <c r="BF131" s="303"/>
      <c r="BG131" s="302"/>
      <c r="BH131" s="306"/>
      <c r="BI131" s="303"/>
      <c r="BJ131" s="302"/>
      <c r="BK131" s="306"/>
      <c r="BL131" s="303"/>
      <c r="BM131" s="72"/>
      <c r="BN131" s="72"/>
      <c r="BO131" s="308"/>
      <c r="BP131" s="308"/>
      <c r="BQ131" s="308"/>
      <c r="BR131" s="94"/>
      <c r="BS131" s="95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92"/>
      <c r="CJ131" s="135">
        <f>$O$41</f>
        <v>30</v>
      </c>
      <c r="CK131" s="135" t="str">
        <f t="shared" si="9"/>
        <v>Iniciados</v>
      </c>
      <c r="CL131" s="135" t="str">
        <f t="shared" si="10"/>
        <v>Singulares</v>
      </c>
      <c r="CM131" s="135" t="str">
        <f t="shared" si="11"/>
        <v>Masculinos</v>
      </c>
      <c r="CN131" s="135" t="str">
        <f>"2ª Meia Final"</f>
        <v>2ª Meia Final</v>
      </c>
      <c r="CO131" s="135" t="str">
        <f>$I$39</f>
        <v>2ª Meia Final-Jogador1</v>
      </c>
      <c r="CP131" s="135" t="str">
        <f>$I$43</f>
        <v>2ª Meia Final-Jogador2</v>
      </c>
    </row>
    <row r="132" spans="53:94" ht="19.5" hidden="1" customHeight="1" thickBot="1">
      <c r="BA132" s="88"/>
      <c r="BB132" s="304"/>
      <c r="BC132" s="305"/>
      <c r="BD132" s="304"/>
      <c r="BE132" s="307"/>
      <c r="BF132" s="305"/>
      <c r="BG132" s="304"/>
      <c r="BH132" s="307"/>
      <c r="BI132" s="305"/>
      <c r="BJ132" s="304"/>
      <c r="BK132" s="307"/>
      <c r="BL132" s="305"/>
      <c r="BM132" s="72"/>
      <c r="BN132" s="72"/>
      <c r="BO132" s="308"/>
      <c r="BP132" s="308"/>
      <c r="BQ132" s="308"/>
      <c r="BR132" s="94"/>
      <c r="BS132" s="95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92"/>
      <c r="CJ132" s="135">
        <f>$V$37</f>
        <v>31</v>
      </c>
      <c r="CK132" s="135" t="str">
        <f t="shared" si="9"/>
        <v>Iniciados</v>
      </c>
      <c r="CL132" s="135" t="str">
        <f t="shared" si="10"/>
        <v>Singulares</v>
      </c>
      <c r="CM132" s="135" t="str">
        <f t="shared" si="11"/>
        <v>Masculinos</v>
      </c>
      <c r="CN132" s="135" t="str">
        <f>"Jogo 3º/4º lugar"</f>
        <v>Jogo 3º/4º lugar</v>
      </c>
      <c r="CO132" s="135" t="str">
        <f>$P$35</f>
        <v>Disputa 3º/4º  Jogador1</v>
      </c>
      <c r="CP132" s="135" t="str">
        <f>$P$39</f>
        <v>Disputa 3º/4º  Jogador2</v>
      </c>
    </row>
    <row r="133" spans="53:94" ht="19.5" hidden="1" customHeight="1">
      <c r="BA133" s="88"/>
      <c r="BB133" s="302" t="str">
        <f>IF(BC128="","",VLOOKUP(BC128,$CJ$102:$CP$145,7,FALSE))</f>
        <v>Simão Boavista (DSRAlentejo)</v>
      </c>
      <c r="BC133" s="303"/>
      <c r="BD133" s="302"/>
      <c r="BE133" s="306"/>
      <c r="BF133" s="303"/>
      <c r="BG133" s="302"/>
      <c r="BH133" s="306"/>
      <c r="BI133" s="303"/>
      <c r="BJ133" s="302"/>
      <c r="BK133" s="306"/>
      <c r="BL133" s="303"/>
      <c r="BM133" s="72"/>
      <c r="BN133" s="72"/>
      <c r="BO133" s="308"/>
      <c r="BP133" s="308"/>
      <c r="BQ133" s="308"/>
      <c r="BR133" s="94"/>
      <c r="BS133" s="95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92"/>
      <c r="CJ133" s="136">
        <f>$W$37</f>
        <v>32</v>
      </c>
      <c r="CK133" s="136" t="str">
        <f t="shared" si="9"/>
        <v>Iniciados</v>
      </c>
      <c r="CL133" s="136" t="str">
        <f t="shared" si="10"/>
        <v>Singulares</v>
      </c>
      <c r="CM133" s="136" t="str">
        <f t="shared" si="11"/>
        <v>Masculinos</v>
      </c>
      <c r="CN133" s="136" t="str">
        <f>"Final"</f>
        <v>Final</v>
      </c>
      <c r="CO133" s="136" t="str">
        <f>$P$33</f>
        <v>Final-Jogador1</v>
      </c>
      <c r="CP133" s="136" t="str">
        <f>$P$41</f>
        <v>Final-Jogador2</v>
      </c>
    </row>
    <row r="134" spans="53:94" ht="19.5" hidden="1" customHeight="1" thickBot="1">
      <c r="BA134" s="88"/>
      <c r="BB134" s="304"/>
      <c r="BC134" s="305"/>
      <c r="BD134" s="304"/>
      <c r="BE134" s="307"/>
      <c r="BF134" s="305"/>
      <c r="BG134" s="304"/>
      <c r="BH134" s="307"/>
      <c r="BI134" s="305"/>
      <c r="BJ134" s="304"/>
      <c r="BK134" s="307"/>
      <c r="BL134" s="305"/>
      <c r="BM134" s="72"/>
      <c r="BN134" s="72"/>
      <c r="BO134" s="308"/>
      <c r="BP134" s="308"/>
      <c r="BQ134" s="308"/>
      <c r="BR134" s="96"/>
      <c r="BS134" s="95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92"/>
      <c r="CJ134" s="135">
        <f>$O$52</f>
        <v>33</v>
      </c>
      <c r="CK134" s="135" t="str">
        <f t="shared" si="9"/>
        <v>Iniciados</v>
      </c>
      <c r="CL134" s="135" t="str">
        <f t="shared" si="10"/>
        <v>Singulares</v>
      </c>
      <c r="CM134" s="135" t="str">
        <f t="shared" si="11"/>
        <v>Masculinos</v>
      </c>
      <c r="CN134" s="135" t="str">
        <f>"Disp 5º-8º - Jogo1"</f>
        <v>Disp 5º-8º - Jogo1</v>
      </c>
      <c r="CO134" s="135" t="str">
        <f>$I$50</f>
        <v>Vencido do jogo 25</v>
      </c>
      <c r="CP134" s="135" t="str">
        <f>$I$54</f>
        <v>Vencido do jogo 26</v>
      </c>
    </row>
    <row r="135" spans="53:94" ht="22.5" hidden="1" customHeight="1" thickBot="1">
      <c r="BA135" s="88"/>
      <c r="BB135" s="97" t="s">
        <v>24</v>
      </c>
      <c r="BC135" s="309"/>
      <c r="BD135" s="310"/>
      <c r="BE135" s="310"/>
      <c r="BF135" s="310"/>
      <c r="BG135" s="311"/>
      <c r="BH135" s="311"/>
      <c r="BI135" s="311"/>
      <c r="BJ135" s="311"/>
      <c r="BK135" s="311"/>
      <c r="BL135" s="311"/>
      <c r="BM135" s="312"/>
      <c r="BN135" s="313"/>
      <c r="BO135" s="313"/>
      <c r="BP135" s="313"/>
      <c r="BQ135" s="313"/>
      <c r="BR135" s="95"/>
      <c r="BS135" s="95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92"/>
      <c r="CJ135" s="135">
        <f>$O$60</f>
        <v>34</v>
      </c>
      <c r="CK135" s="135" t="str">
        <f t="shared" si="9"/>
        <v>Iniciados</v>
      </c>
      <c r="CL135" s="135" t="str">
        <f t="shared" si="10"/>
        <v>Singulares</v>
      </c>
      <c r="CM135" s="135" t="str">
        <f t="shared" si="11"/>
        <v>Masculinos</v>
      </c>
      <c r="CN135" s="135" t="str">
        <f>"Disp 5º-8º - Jogo2"</f>
        <v>Disp 5º-8º - Jogo2</v>
      </c>
      <c r="CO135" s="135" t="str">
        <f>$I$58</f>
        <v>Vencido do jogo 27</v>
      </c>
      <c r="CP135" s="135" t="str">
        <f>$I$62</f>
        <v>Vencido do jogo 28</v>
      </c>
    </row>
    <row r="136" spans="53:94" ht="18.75" hidden="1" customHeight="1">
      <c r="BA136" s="88"/>
      <c r="BB136" s="73" t="s">
        <v>35</v>
      </c>
      <c r="BC136" s="73"/>
      <c r="BD136" s="73"/>
      <c r="BE136" s="73"/>
      <c r="BF136" s="73"/>
      <c r="BG136" s="73"/>
      <c r="BH136" s="7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92"/>
      <c r="CJ136" s="135">
        <f>$V$56</f>
        <v>35</v>
      </c>
      <c r="CK136" s="135" t="str">
        <f t="shared" si="9"/>
        <v>Iniciados</v>
      </c>
      <c r="CL136" s="135" t="str">
        <f t="shared" si="10"/>
        <v>Singulares</v>
      </c>
      <c r="CM136" s="135" t="str">
        <f t="shared" si="11"/>
        <v>Masculinos</v>
      </c>
      <c r="CN136" s="135" t="str">
        <f>"Jogo 7º/8º lugar"</f>
        <v>Jogo 7º/8º lugar</v>
      </c>
      <c r="CO136" s="135" t="str">
        <f>$P$54</f>
        <v>Disputa 7º/8º  Jogador1</v>
      </c>
      <c r="CP136" s="135" t="str">
        <f>$P$58</f>
        <v>Disputa 7º/8º  Jogador2</v>
      </c>
    </row>
    <row r="137" spans="53:94" ht="15" hidden="1" customHeight="1">
      <c r="BA137" s="88"/>
      <c r="BB137" s="298" t="str">
        <f>IF($BB$131="","",$BB$131)</f>
        <v>Vasco Murteira (DSRLisboa)</v>
      </c>
      <c r="BC137" s="299"/>
      <c r="BD137" s="74"/>
      <c r="BE137" s="75"/>
      <c r="BF137" s="75"/>
      <c r="BG137" s="75"/>
      <c r="BH137" s="75"/>
      <c r="BI137" s="75"/>
      <c r="BJ137" s="75"/>
      <c r="BK137" s="75"/>
      <c r="BL137" s="75"/>
      <c r="BM137" s="76"/>
      <c r="BN137" s="254"/>
      <c r="BO137" s="256"/>
      <c r="BP137" s="77"/>
      <c r="BQ137" s="77"/>
      <c r="BR137" s="77"/>
      <c r="BS137" s="78"/>
      <c r="BT137" s="75"/>
      <c r="BU137" s="75"/>
      <c r="BV137" s="75"/>
      <c r="BW137" s="75"/>
      <c r="BX137" s="254"/>
      <c r="BY137" s="76"/>
      <c r="BZ137" s="75"/>
      <c r="CA137" s="75"/>
      <c r="CB137" s="75"/>
      <c r="CC137" s="75"/>
      <c r="CD137" s="75"/>
      <c r="CE137" s="75"/>
      <c r="CF137" s="75"/>
      <c r="CG137" s="75"/>
      <c r="CH137" s="92"/>
      <c r="CJ137" s="136">
        <f>$W$56</f>
        <v>36</v>
      </c>
      <c r="CK137" s="136" t="str">
        <f t="shared" si="9"/>
        <v>Iniciados</v>
      </c>
      <c r="CL137" s="136" t="str">
        <f t="shared" si="10"/>
        <v>Singulares</v>
      </c>
      <c r="CM137" s="136" t="str">
        <f t="shared" si="11"/>
        <v>Masculinos</v>
      </c>
      <c r="CN137" s="136" t="str">
        <f>"Jogo 5º/6º lugar"</f>
        <v>Jogo 5º/6º lugar</v>
      </c>
      <c r="CO137" s="136" t="str">
        <f>$P$52</f>
        <v>Disputa 5º/6º Jogador1</v>
      </c>
      <c r="CP137" s="136" t="str">
        <f>$P$60</f>
        <v>Disputa 5º/6º Jogador2</v>
      </c>
    </row>
    <row r="138" spans="53:94" ht="15" hidden="1" customHeight="1">
      <c r="BA138" s="88"/>
      <c r="BB138" s="300"/>
      <c r="BC138" s="301"/>
      <c r="BD138" s="79"/>
      <c r="BE138" s="80"/>
      <c r="BF138" s="80"/>
      <c r="BG138" s="80"/>
      <c r="BH138" s="80"/>
      <c r="BI138" s="80"/>
      <c r="BJ138" s="80"/>
      <c r="BK138" s="80"/>
      <c r="BL138" s="80"/>
      <c r="BM138" s="81"/>
      <c r="BN138" s="255"/>
      <c r="BO138" s="257"/>
      <c r="BP138" s="82"/>
      <c r="BQ138" s="82"/>
      <c r="BR138" s="82"/>
      <c r="BS138" s="83"/>
      <c r="BT138" s="80"/>
      <c r="BU138" s="80"/>
      <c r="BV138" s="80"/>
      <c r="BW138" s="80"/>
      <c r="BX138" s="255"/>
      <c r="BY138" s="81"/>
      <c r="BZ138" s="80"/>
      <c r="CA138" s="80"/>
      <c r="CB138" s="80"/>
      <c r="CC138" s="80"/>
      <c r="CD138" s="80"/>
      <c r="CE138" s="80"/>
      <c r="CF138" s="80"/>
      <c r="CG138" s="80"/>
      <c r="CH138" s="98" t="s">
        <v>1</v>
      </c>
      <c r="CJ138" s="136">
        <v>37</v>
      </c>
      <c r="CK138" s="136" t="str">
        <f t="shared" si="9"/>
        <v>Iniciados</v>
      </c>
      <c r="CL138" s="136" t="str">
        <f t="shared" si="10"/>
        <v>Singulares</v>
      </c>
      <c r="CM138" s="136" t="str">
        <f t="shared" si="11"/>
        <v>Masculinos</v>
      </c>
      <c r="CN138" s="136" t="str">
        <f>"Disp 9º-12º - Jogo1"</f>
        <v>Disp 9º-12º - Jogo1</v>
      </c>
      <c r="CO138" s="136" t="str">
        <f>$I$68</f>
        <v>3º  do Grupo A</v>
      </c>
      <c r="CP138" s="136" t="str">
        <f>$I$72</f>
        <v>3º  do Grupo B</v>
      </c>
    </row>
    <row r="139" spans="53:94" ht="15" hidden="1" customHeight="1">
      <c r="BA139" s="88"/>
      <c r="BB139" s="298" t="str">
        <f>IF($BB$133="","",$BB$133)</f>
        <v>Simão Boavista (DSRAlentejo)</v>
      </c>
      <c r="BC139" s="299"/>
      <c r="BD139" s="74"/>
      <c r="BE139" s="75"/>
      <c r="BF139" s="75"/>
      <c r="BG139" s="75"/>
      <c r="BH139" s="75"/>
      <c r="BI139" s="75"/>
      <c r="BJ139" s="75"/>
      <c r="BK139" s="75"/>
      <c r="BL139" s="75"/>
      <c r="BM139" s="76"/>
      <c r="BN139" s="254"/>
      <c r="BO139" s="256"/>
      <c r="BP139" s="77"/>
      <c r="BQ139" s="77"/>
      <c r="BR139" s="77"/>
      <c r="BS139" s="78"/>
      <c r="BT139" s="75"/>
      <c r="BU139" s="75"/>
      <c r="BV139" s="75"/>
      <c r="BW139" s="75"/>
      <c r="BX139" s="254"/>
      <c r="BY139" s="76"/>
      <c r="BZ139" s="75"/>
      <c r="CA139" s="75"/>
      <c r="CB139" s="75"/>
      <c r="CC139" s="75"/>
      <c r="CD139" s="75"/>
      <c r="CE139" s="75"/>
      <c r="CF139" s="75"/>
      <c r="CG139" s="75"/>
      <c r="CH139" s="99"/>
      <c r="CJ139" s="136">
        <v>38</v>
      </c>
      <c r="CK139" s="136" t="str">
        <f t="shared" si="9"/>
        <v>Iniciados</v>
      </c>
      <c r="CL139" s="136" t="str">
        <f t="shared" si="10"/>
        <v>Singulares</v>
      </c>
      <c r="CM139" s="136" t="str">
        <f t="shared" si="11"/>
        <v>Masculinos</v>
      </c>
      <c r="CN139" s="136" t="str">
        <f>"Disp 9º-12º - Jogo2"</f>
        <v>Disp 9º-12º - Jogo2</v>
      </c>
      <c r="CO139" s="136" t="str">
        <f>$I$76</f>
        <v>3º  do Grupo C</v>
      </c>
      <c r="CP139" s="136" t="str">
        <f>$I$80</f>
        <v>3º  do Grupo D</v>
      </c>
    </row>
    <row r="140" spans="53:94" ht="15" hidden="1" customHeight="1">
      <c r="BA140" s="88"/>
      <c r="BB140" s="300"/>
      <c r="BC140" s="301"/>
      <c r="BD140" s="79"/>
      <c r="BE140" s="80"/>
      <c r="BF140" s="80"/>
      <c r="BG140" s="80"/>
      <c r="BH140" s="80"/>
      <c r="BI140" s="80"/>
      <c r="BJ140" s="80"/>
      <c r="BK140" s="80"/>
      <c r="BL140" s="80"/>
      <c r="BM140" s="81"/>
      <c r="BN140" s="255"/>
      <c r="BO140" s="257"/>
      <c r="BP140" s="82"/>
      <c r="BQ140" s="82"/>
      <c r="BR140" s="82"/>
      <c r="BS140" s="83"/>
      <c r="BT140" s="80"/>
      <c r="BU140" s="80"/>
      <c r="BV140" s="80"/>
      <c r="BW140" s="80"/>
      <c r="BX140" s="255"/>
      <c r="BY140" s="81"/>
      <c r="BZ140" s="80"/>
      <c r="CA140" s="80"/>
      <c r="CB140" s="80"/>
      <c r="CC140" s="80"/>
      <c r="CD140" s="80"/>
      <c r="CE140" s="80"/>
      <c r="CF140" s="80"/>
      <c r="CG140" s="80"/>
      <c r="CH140" s="92"/>
      <c r="CJ140" s="136">
        <v>39</v>
      </c>
      <c r="CK140" s="136" t="str">
        <f t="shared" si="9"/>
        <v>Iniciados</v>
      </c>
      <c r="CL140" s="136" t="str">
        <f t="shared" si="10"/>
        <v>Singulares</v>
      </c>
      <c r="CM140" s="136" t="str">
        <f t="shared" si="11"/>
        <v>Masculinos</v>
      </c>
      <c r="CN140" s="136" t="str">
        <f>"Jogo 11º/12º lugar"</f>
        <v>Jogo 11º/12º lugar</v>
      </c>
      <c r="CO140" s="136" t="str">
        <f>$P$72</f>
        <v>Disputa 11º/12º  Jogador1</v>
      </c>
      <c r="CP140" s="136" t="str">
        <f>$P$76</f>
        <v>Disputa 11º/12º  Jogador2</v>
      </c>
    </row>
    <row r="141" spans="53:94" ht="12.75" hidden="1" customHeight="1">
      <c r="BA141" s="88"/>
      <c r="BB141" s="84"/>
      <c r="BC141" s="84"/>
      <c r="BD141" s="100">
        <v>1</v>
      </c>
      <c r="BE141" s="100">
        <v>2</v>
      </c>
      <c r="BF141" s="100">
        <v>3</v>
      </c>
      <c r="BG141" s="100">
        <v>4</v>
      </c>
      <c r="BH141" s="100">
        <v>5</v>
      </c>
      <c r="BI141" s="100">
        <v>6</v>
      </c>
      <c r="BJ141" s="100">
        <v>7</v>
      </c>
      <c r="BK141" s="100">
        <v>8</v>
      </c>
      <c r="BL141" s="100">
        <v>9</v>
      </c>
      <c r="BM141" s="100">
        <v>10</v>
      </c>
      <c r="BN141" s="100">
        <v>11</v>
      </c>
      <c r="BO141" s="100">
        <v>12</v>
      </c>
      <c r="BP141" s="100">
        <v>13</v>
      </c>
      <c r="BQ141" s="100">
        <v>14</v>
      </c>
      <c r="BR141" s="100">
        <v>15</v>
      </c>
      <c r="BS141" s="100">
        <v>16</v>
      </c>
      <c r="BT141" s="100">
        <v>17</v>
      </c>
      <c r="BU141" s="100">
        <v>18</v>
      </c>
      <c r="BV141" s="100">
        <v>19</v>
      </c>
      <c r="BW141" s="100">
        <v>20</v>
      </c>
      <c r="BX141" s="100">
        <v>21</v>
      </c>
      <c r="BY141" s="100">
        <v>22</v>
      </c>
      <c r="BZ141" s="100">
        <v>23</v>
      </c>
      <c r="CA141" s="100">
        <v>24</v>
      </c>
      <c r="CB141" s="100">
        <v>25</v>
      </c>
      <c r="CC141" s="100">
        <v>26</v>
      </c>
      <c r="CD141" s="100">
        <v>27</v>
      </c>
      <c r="CE141" s="100">
        <v>28</v>
      </c>
      <c r="CF141" s="100">
        <v>29</v>
      </c>
      <c r="CG141" s="100">
        <v>30</v>
      </c>
      <c r="CH141" s="101"/>
      <c r="CJ141" s="136">
        <v>40</v>
      </c>
      <c r="CK141" s="136" t="str">
        <f t="shared" si="9"/>
        <v>Iniciados</v>
      </c>
      <c r="CL141" s="136" t="str">
        <f t="shared" si="10"/>
        <v>Singulares</v>
      </c>
      <c r="CM141" s="136" t="str">
        <f t="shared" si="11"/>
        <v>Masculinos</v>
      </c>
      <c r="CN141" s="136" t="str">
        <f>"Jogo 9º/10º lugar"</f>
        <v>Jogo 9º/10º lugar</v>
      </c>
      <c r="CO141" s="136" t="str">
        <f>$P$70</f>
        <v>Disputa 9º/10º Jogador1</v>
      </c>
      <c r="CP141" s="136" t="str">
        <f>$P$78</f>
        <v>Disputa 9º/10º Jogador2</v>
      </c>
    </row>
    <row r="142" spans="53:94" ht="15" hidden="1" customHeight="1">
      <c r="BA142" s="88"/>
      <c r="BB142" s="298" t="str">
        <f>IF($BB$131="","",$BB$131)</f>
        <v>Vasco Murteira (DSRLisboa)</v>
      </c>
      <c r="BC142" s="299"/>
      <c r="BD142" s="74"/>
      <c r="BE142" s="75"/>
      <c r="BF142" s="75"/>
      <c r="BG142" s="75"/>
      <c r="BH142" s="75"/>
      <c r="BI142" s="75"/>
      <c r="BJ142" s="75"/>
      <c r="BK142" s="75"/>
      <c r="BL142" s="75"/>
      <c r="BM142" s="76"/>
      <c r="BN142" s="254"/>
      <c r="BO142" s="256"/>
      <c r="BP142" s="77"/>
      <c r="BQ142" s="77"/>
      <c r="BR142" s="77"/>
      <c r="BS142" s="78"/>
      <c r="BT142" s="75"/>
      <c r="BU142" s="75"/>
      <c r="BV142" s="75"/>
      <c r="BW142" s="75"/>
      <c r="BX142" s="254"/>
      <c r="BY142" s="76"/>
      <c r="BZ142" s="75"/>
      <c r="CA142" s="75"/>
      <c r="CB142" s="75"/>
      <c r="CC142" s="75"/>
      <c r="CD142" s="75"/>
      <c r="CE142" s="75"/>
      <c r="CF142" s="75"/>
      <c r="CG142" s="75"/>
      <c r="CH142" s="92"/>
      <c r="CJ142" s="136">
        <v>41</v>
      </c>
      <c r="CK142" s="136" t="str">
        <f t="shared" si="9"/>
        <v>Iniciados</v>
      </c>
      <c r="CL142" s="136" t="str">
        <f t="shared" si="10"/>
        <v>Singulares</v>
      </c>
      <c r="CM142" s="136" t="str">
        <f t="shared" si="11"/>
        <v>Masculinos</v>
      </c>
      <c r="CN142" s="136" t="str">
        <f>"Disp 13º-16º - Jogo1"</f>
        <v>Disp 13º-16º - Jogo1</v>
      </c>
      <c r="CO142" s="136" t="str">
        <f>$I$86</f>
        <v>4º  do Grupo A</v>
      </c>
      <c r="CP142" s="136" t="str">
        <f>$I$90</f>
        <v>4º  do Grupo B</v>
      </c>
    </row>
    <row r="143" spans="53:94" ht="15" hidden="1" customHeight="1">
      <c r="BA143" s="88"/>
      <c r="BB143" s="300"/>
      <c r="BC143" s="301"/>
      <c r="BD143" s="79"/>
      <c r="BE143" s="80"/>
      <c r="BF143" s="80"/>
      <c r="BG143" s="80"/>
      <c r="BH143" s="80"/>
      <c r="BI143" s="80"/>
      <c r="BJ143" s="80"/>
      <c r="BK143" s="80"/>
      <c r="BL143" s="80"/>
      <c r="BM143" s="81"/>
      <c r="BN143" s="255"/>
      <c r="BO143" s="257"/>
      <c r="BP143" s="82"/>
      <c r="BQ143" s="82"/>
      <c r="BR143" s="82"/>
      <c r="BS143" s="83"/>
      <c r="BT143" s="80"/>
      <c r="BU143" s="80"/>
      <c r="BV143" s="80"/>
      <c r="BW143" s="80"/>
      <c r="BX143" s="255"/>
      <c r="BY143" s="81"/>
      <c r="BZ143" s="80"/>
      <c r="CA143" s="80"/>
      <c r="CB143" s="80"/>
      <c r="CC143" s="80"/>
      <c r="CD143" s="80"/>
      <c r="CE143" s="80"/>
      <c r="CF143" s="80"/>
      <c r="CG143" s="80"/>
      <c r="CH143" s="92"/>
      <c r="CJ143" s="136">
        <v>42</v>
      </c>
      <c r="CK143" s="136" t="str">
        <f t="shared" si="9"/>
        <v>Iniciados</v>
      </c>
      <c r="CL143" s="136" t="str">
        <f t="shared" si="10"/>
        <v>Singulares</v>
      </c>
      <c r="CM143" s="136" t="str">
        <f t="shared" si="11"/>
        <v>Masculinos</v>
      </c>
      <c r="CN143" s="136" t="str">
        <f>"Disp 13º-16º - Jogo2"</f>
        <v>Disp 13º-16º - Jogo2</v>
      </c>
      <c r="CO143" s="136" t="str">
        <f>$I$94</f>
        <v>4º  do Grupo C</v>
      </c>
      <c r="CP143" s="136" t="str">
        <f>$I$98</f>
        <v>4º  do Grupo D</v>
      </c>
    </row>
    <row r="144" spans="53:94" ht="15" hidden="1" customHeight="1">
      <c r="BA144" s="88"/>
      <c r="BB144" s="298" t="str">
        <f>IF($BB$133="","",$BB$133)</f>
        <v>Simão Boavista (DSRAlentejo)</v>
      </c>
      <c r="BC144" s="299"/>
      <c r="BD144" s="74"/>
      <c r="BE144" s="75"/>
      <c r="BF144" s="75"/>
      <c r="BG144" s="75"/>
      <c r="BH144" s="75"/>
      <c r="BI144" s="75"/>
      <c r="BJ144" s="75"/>
      <c r="BK144" s="75"/>
      <c r="BL144" s="75"/>
      <c r="BM144" s="76"/>
      <c r="BN144" s="254"/>
      <c r="BO144" s="256"/>
      <c r="BP144" s="77"/>
      <c r="BQ144" s="77"/>
      <c r="BR144" s="77"/>
      <c r="BS144" s="78"/>
      <c r="BT144" s="75"/>
      <c r="BU144" s="75"/>
      <c r="BV144" s="75"/>
      <c r="BW144" s="75"/>
      <c r="BX144" s="254"/>
      <c r="BY144" s="76"/>
      <c r="BZ144" s="75"/>
      <c r="CA144" s="75"/>
      <c r="CB144" s="75"/>
      <c r="CC144" s="75"/>
      <c r="CD144" s="75"/>
      <c r="CE144" s="75"/>
      <c r="CF144" s="75"/>
      <c r="CG144" s="75"/>
      <c r="CH144" s="98" t="s">
        <v>2</v>
      </c>
      <c r="CJ144" s="136">
        <v>43</v>
      </c>
      <c r="CK144" s="136" t="str">
        <f t="shared" si="9"/>
        <v>Iniciados</v>
      </c>
      <c r="CL144" s="136" t="str">
        <f t="shared" si="10"/>
        <v>Singulares</v>
      </c>
      <c r="CM144" s="136" t="str">
        <f t="shared" si="11"/>
        <v>Masculinos</v>
      </c>
      <c r="CN144" s="136" t="str">
        <f>"Jogo 15º/16º lugar"</f>
        <v>Jogo 15º/16º lugar</v>
      </c>
      <c r="CO144" s="136" t="str">
        <f>$P$90</f>
        <v>Disputa 15º/16º  Jogador1</v>
      </c>
      <c r="CP144" s="136" t="str">
        <f>$P$94</f>
        <v>Disputa 15º/16º  Jogador2</v>
      </c>
    </row>
    <row r="145" spans="53:94" ht="15" hidden="1" customHeight="1">
      <c r="BA145" s="88"/>
      <c r="BB145" s="300"/>
      <c r="BC145" s="301"/>
      <c r="BD145" s="79"/>
      <c r="BE145" s="80"/>
      <c r="BF145" s="80"/>
      <c r="BG145" s="80"/>
      <c r="BH145" s="80"/>
      <c r="BI145" s="80"/>
      <c r="BJ145" s="80"/>
      <c r="BK145" s="80"/>
      <c r="BL145" s="80"/>
      <c r="BM145" s="81"/>
      <c r="BN145" s="255"/>
      <c r="BO145" s="257"/>
      <c r="BP145" s="82"/>
      <c r="BQ145" s="82"/>
      <c r="BR145" s="82"/>
      <c r="BS145" s="83"/>
      <c r="BT145" s="80"/>
      <c r="BU145" s="80"/>
      <c r="BV145" s="80"/>
      <c r="BW145" s="80"/>
      <c r="BX145" s="255"/>
      <c r="BY145" s="81"/>
      <c r="BZ145" s="80"/>
      <c r="CA145" s="80"/>
      <c r="CB145" s="80"/>
      <c r="CC145" s="80"/>
      <c r="CD145" s="80"/>
      <c r="CE145" s="80"/>
      <c r="CF145" s="80"/>
      <c r="CG145" s="80"/>
      <c r="CH145" s="92"/>
      <c r="CJ145" s="136">
        <v>44</v>
      </c>
      <c r="CK145" s="136" t="str">
        <f t="shared" si="9"/>
        <v>Iniciados</v>
      </c>
      <c r="CL145" s="136" t="str">
        <f t="shared" si="10"/>
        <v>Singulares</v>
      </c>
      <c r="CM145" s="136" t="str">
        <f t="shared" si="11"/>
        <v>Masculinos</v>
      </c>
      <c r="CN145" s="136" t="str">
        <f>"Jogo 13º/14º lugar"</f>
        <v>Jogo 13º/14º lugar</v>
      </c>
      <c r="CO145" s="136" t="str">
        <f>$P$88</f>
        <v>Disputa 13º/14º Jogador1</v>
      </c>
      <c r="CP145" s="136" t="str">
        <f>$P$96</f>
        <v>Disputa 13º/14º Jogador2</v>
      </c>
    </row>
    <row r="146" spans="53:94" ht="12.75" hidden="1" customHeight="1">
      <c r="BA146" s="88"/>
      <c r="BB146" s="84"/>
      <c r="BC146" s="84"/>
      <c r="BD146" s="100">
        <v>1</v>
      </c>
      <c r="BE146" s="100">
        <v>2</v>
      </c>
      <c r="BF146" s="100">
        <v>3</v>
      </c>
      <c r="BG146" s="100">
        <v>4</v>
      </c>
      <c r="BH146" s="100">
        <v>5</v>
      </c>
      <c r="BI146" s="100">
        <v>6</v>
      </c>
      <c r="BJ146" s="100">
        <v>7</v>
      </c>
      <c r="BK146" s="100">
        <v>8</v>
      </c>
      <c r="BL146" s="100">
        <v>9</v>
      </c>
      <c r="BM146" s="100">
        <v>10</v>
      </c>
      <c r="BN146" s="100">
        <v>11</v>
      </c>
      <c r="BO146" s="100">
        <v>12</v>
      </c>
      <c r="BP146" s="100">
        <v>13</v>
      </c>
      <c r="BQ146" s="100">
        <v>14</v>
      </c>
      <c r="BR146" s="100">
        <v>15</v>
      </c>
      <c r="BS146" s="100">
        <v>16</v>
      </c>
      <c r="BT146" s="100">
        <v>17</v>
      </c>
      <c r="BU146" s="100">
        <v>18</v>
      </c>
      <c r="BV146" s="100">
        <v>19</v>
      </c>
      <c r="BW146" s="100">
        <v>20</v>
      </c>
      <c r="BX146" s="100">
        <v>21</v>
      </c>
      <c r="BY146" s="100">
        <v>22</v>
      </c>
      <c r="BZ146" s="100">
        <v>23</v>
      </c>
      <c r="CA146" s="100">
        <v>24</v>
      </c>
      <c r="CB146" s="100">
        <v>25</v>
      </c>
      <c r="CC146" s="100">
        <v>26</v>
      </c>
      <c r="CD146" s="100">
        <v>27</v>
      </c>
      <c r="CE146" s="100">
        <v>28</v>
      </c>
      <c r="CF146" s="100">
        <v>29</v>
      </c>
      <c r="CG146" s="100">
        <v>30</v>
      </c>
      <c r="CH146" s="101"/>
    </row>
    <row r="147" spans="53:94" ht="15" hidden="1" customHeight="1">
      <c r="BA147" s="88"/>
      <c r="BB147" s="298" t="str">
        <f>IF($BB$131="","",$BB$131)</f>
        <v>Vasco Murteira (DSRLisboa)</v>
      </c>
      <c r="BC147" s="299"/>
      <c r="BD147" s="74"/>
      <c r="BE147" s="75"/>
      <c r="BF147" s="75"/>
      <c r="BG147" s="75"/>
      <c r="BH147" s="75"/>
      <c r="BI147" s="75"/>
      <c r="BJ147" s="75"/>
      <c r="BK147" s="75"/>
      <c r="BL147" s="75"/>
      <c r="BM147" s="76"/>
      <c r="BN147" s="254"/>
      <c r="BO147" s="256"/>
      <c r="BP147" s="77"/>
      <c r="BQ147" s="77"/>
      <c r="BR147" s="77"/>
      <c r="BS147" s="78"/>
      <c r="BT147" s="75"/>
      <c r="BU147" s="75"/>
      <c r="BV147" s="75"/>
      <c r="BW147" s="75"/>
      <c r="BX147" s="254"/>
      <c r="BY147" s="76"/>
      <c r="BZ147" s="75"/>
      <c r="CA147" s="75"/>
      <c r="CB147" s="75"/>
      <c r="CC147" s="75"/>
      <c r="CD147" s="75"/>
      <c r="CE147" s="75"/>
      <c r="CF147" s="75"/>
      <c r="CG147" s="75"/>
      <c r="CH147" s="92"/>
    </row>
    <row r="148" spans="53:94" ht="15" hidden="1" customHeight="1">
      <c r="BA148" s="88"/>
      <c r="BB148" s="300"/>
      <c r="BC148" s="301"/>
      <c r="BD148" s="79"/>
      <c r="BE148" s="80"/>
      <c r="BF148" s="80"/>
      <c r="BG148" s="80"/>
      <c r="BH148" s="80"/>
      <c r="BI148" s="80"/>
      <c r="BJ148" s="80"/>
      <c r="BK148" s="80"/>
      <c r="BL148" s="80"/>
      <c r="BM148" s="81"/>
      <c r="BN148" s="255"/>
      <c r="BO148" s="257"/>
      <c r="BP148" s="82"/>
      <c r="BQ148" s="82"/>
      <c r="BR148" s="82"/>
      <c r="BS148" s="83"/>
      <c r="BT148" s="80"/>
      <c r="BU148" s="80"/>
      <c r="BV148" s="80"/>
      <c r="BW148" s="80"/>
      <c r="BX148" s="255"/>
      <c r="BY148" s="81"/>
      <c r="BZ148" s="80"/>
      <c r="CA148" s="80"/>
      <c r="CB148" s="80"/>
      <c r="CC148" s="80"/>
      <c r="CD148" s="80"/>
      <c r="CE148" s="80"/>
      <c r="CF148" s="80"/>
      <c r="CG148" s="80"/>
      <c r="CH148" s="92"/>
    </row>
    <row r="149" spans="53:94" ht="15" hidden="1" customHeight="1">
      <c r="BA149" s="88"/>
      <c r="BB149" s="298" t="str">
        <f>IF($BB$133="","",$BB$133)</f>
        <v>Simão Boavista (DSRAlentejo)</v>
      </c>
      <c r="BC149" s="299"/>
      <c r="BD149" s="74"/>
      <c r="BE149" s="75"/>
      <c r="BF149" s="75"/>
      <c r="BG149" s="75"/>
      <c r="BH149" s="75"/>
      <c r="BI149" s="75"/>
      <c r="BJ149" s="75"/>
      <c r="BK149" s="75"/>
      <c r="BL149" s="75"/>
      <c r="BM149" s="76"/>
      <c r="BN149" s="254"/>
      <c r="BO149" s="256"/>
      <c r="BP149" s="77"/>
      <c r="BQ149" s="77"/>
      <c r="BR149" s="77"/>
      <c r="BS149" s="78"/>
      <c r="BT149" s="75"/>
      <c r="BU149" s="75"/>
      <c r="BV149" s="75"/>
      <c r="BW149" s="75"/>
      <c r="BX149" s="254"/>
      <c r="BY149" s="76"/>
      <c r="BZ149" s="75"/>
      <c r="CA149" s="75"/>
      <c r="CB149" s="75"/>
      <c r="CC149" s="75"/>
      <c r="CD149" s="75"/>
      <c r="CE149" s="75"/>
      <c r="CF149" s="75"/>
      <c r="CG149" s="75"/>
      <c r="CH149" s="98" t="s">
        <v>3</v>
      </c>
    </row>
    <row r="150" spans="53:94" ht="15" hidden="1" customHeight="1">
      <c r="BA150" s="88"/>
      <c r="BB150" s="300"/>
      <c r="BC150" s="301"/>
      <c r="BD150" s="79"/>
      <c r="BE150" s="80"/>
      <c r="BF150" s="80"/>
      <c r="BG150" s="80"/>
      <c r="BH150" s="80"/>
      <c r="BI150" s="80"/>
      <c r="BJ150" s="80"/>
      <c r="BK150" s="80"/>
      <c r="BL150" s="80"/>
      <c r="BM150" s="81"/>
      <c r="BN150" s="255"/>
      <c r="BO150" s="257"/>
      <c r="BP150" s="82"/>
      <c r="BQ150" s="82"/>
      <c r="BR150" s="82"/>
      <c r="BS150" s="83"/>
      <c r="BT150" s="80"/>
      <c r="BU150" s="80"/>
      <c r="BV150" s="80"/>
      <c r="BW150" s="80"/>
      <c r="BX150" s="255"/>
      <c r="BY150" s="81"/>
      <c r="BZ150" s="80"/>
      <c r="CA150" s="80"/>
      <c r="CB150" s="80"/>
      <c r="CC150" s="80"/>
      <c r="CD150" s="80"/>
      <c r="CE150" s="80"/>
      <c r="CF150" s="80"/>
      <c r="CG150" s="80"/>
      <c r="CH150" s="92"/>
    </row>
    <row r="151" spans="53:94" ht="65.25" hidden="1" customHeight="1">
      <c r="BA151" s="102"/>
      <c r="BB151" s="103" t="s">
        <v>36</v>
      </c>
      <c r="BC151" s="104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1"/>
    </row>
    <row r="152" spans="53:94" ht="26.25" hidden="1" customHeight="1">
      <c r="BA152" s="296"/>
      <c r="BB152" s="296"/>
      <c r="BC152" s="296"/>
      <c r="BD152" s="296"/>
      <c r="BE152" s="296"/>
      <c r="BF152" s="296"/>
      <c r="BG152" s="296"/>
      <c r="BH152" s="296"/>
      <c r="BI152" s="296"/>
      <c r="BJ152" s="296"/>
      <c r="BK152" s="296"/>
      <c r="BL152" s="296"/>
      <c r="BM152" s="296"/>
      <c r="BN152" s="296"/>
      <c r="BO152" s="296"/>
      <c r="BP152" s="296"/>
      <c r="BQ152" s="296"/>
      <c r="BR152" s="296"/>
      <c r="BS152" s="296"/>
      <c r="BT152" s="296"/>
      <c r="BU152" s="296"/>
      <c r="BV152" s="296"/>
      <c r="BW152" s="296"/>
      <c r="BX152" s="296"/>
      <c r="BY152" s="296"/>
      <c r="BZ152" s="296"/>
      <c r="CA152" s="296"/>
      <c r="CB152" s="296"/>
      <c r="CC152" s="296"/>
      <c r="CD152" s="296"/>
      <c r="CE152" s="296"/>
      <c r="CF152" s="296"/>
      <c r="CG152" s="296"/>
      <c r="CH152" s="296"/>
    </row>
    <row r="153" spans="53:94" ht="22.5" hidden="1" customHeight="1"/>
    <row r="154" spans="53:94" ht="22.5" hidden="1" customHeight="1"/>
    <row r="155" spans="53:94" ht="22.5" hidden="1" customHeight="1"/>
    <row r="156" spans="53:94" hidden="1"/>
    <row r="157" spans="53:94" hidden="1"/>
  </sheetData>
  <sheetProtection password="E82C" sheet="1" objects="1" scenarios="1" formatCells="0" formatColumns="0" formatRows="0" autoFilter="0"/>
  <autoFilter ref="AN6:AZ54">
    <filterColumn colId="2" showButton="0"/>
    <filterColumn colId="3" showButton="0"/>
    <filterColumn colId="4" showButton="0"/>
  </autoFilter>
  <mergeCells count="326">
    <mergeCell ref="C2:F2"/>
    <mergeCell ref="H2:X2"/>
    <mergeCell ref="AN2:AZ4"/>
    <mergeCell ref="C3:F3"/>
    <mergeCell ref="H3:O3"/>
    <mergeCell ref="Q3:X3"/>
    <mergeCell ref="C5:I5"/>
    <mergeCell ref="J5:P5"/>
    <mergeCell ref="Q5:W5"/>
    <mergeCell ref="X5:AD5"/>
    <mergeCell ref="AG5:AJ7"/>
    <mergeCell ref="AN5:AS5"/>
    <mergeCell ref="AT5:AZ5"/>
    <mergeCell ref="D6:F6"/>
    <mergeCell ref="K6:M6"/>
    <mergeCell ref="R6:T6"/>
    <mergeCell ref="Y6:AA6"/>
    <mergeCell ref="AP6:AS6"/>
    <mergeCell ref="D7:F7"/>
    <mergeCell ref="K7:M7"/>
    <mergeCell ref="R7:T7"/>
    <mergeCell ref="Y7:AA7"/>
    <mergeCell ref="AP7:AS7"/>
    <mergeCell ref="AK10:AL10"/>
    <mergeCell ref="AP10:AS10"/>
    <mergeCell ref="AI8:AI9"/>
    <mergeCell ref="AJ8:AJ9"/>
    <mergeCell ref="AP8:AS8"/>
    <mergeCell ref="D9:F9"/>
    <mergeCell ref="K9:M9"/>
    <mergeCell ref="R9:T9"/>
    <mergeCell ref="Y9:AA9"/>
    <mergeCell ref="AP9:AS9"/>
    <mergeCell ref="D8:F8"/>
    <mergeCell ref="K8:M8"/>
    <mergeCell ref="R8:T8"/>
    <mergeCell ref="Y8:AA8"/>
    <mergeCell ref="AG8:AG9"/>
    <mergeCell ref="AH8:AH9"/>
    <mergeCell ref="D10:F10"/>
    <mergeCell ref="K10:M10"/>
    <mergeCell ref="R10:T10"/>
    <mergeCell ref="Y10:AA10"/>
    <mergeCell ref="C11:I11"/>
    <mergeCell ref="J11:P11"/>
    <mergeCell ref="Q11:W11"/>
    <mergeCell ref="X11:AD11"/>
    <mergeCell ref="AP11:AS11"/>
    <mergeCell ref="D12:H12"/>
    <mergeCell ref="K12:O12"/>
    <mergeCell ref="R12:V12"/>
    <mergeCell ref="Y12:AC12"/>
    <mergeCell ref="AP12:AS12"/>
    <mergeCell ref="Y15:AC15"/>
    <mergeCell ref="AK15:AL15"/>
    <mergeCell ref="AP15:AS15"/>
    <mergeCell ref="D13:H13"/>
    <mergeCell ref="K13:O13"/>
    <mergeCell ref="R13:V13"/>
    <mergeCell ref="Y13:AC13"/>
    <mergeCell ref="AP13:AS13"/>
    <mergeCell ref="D14:H14"/>
    <mergeCell ref="K14:O14"/>
    <mergeCell ref="R14:V14"/>
    <mergeCell ref="Y14:AC14"/>
    <mergeCell ref="AP14:AS14"/>
    <mergeCell ref="C16:C17"/>
    <mergeCell ref="D16:E16"/>
    <mergeCell ref="J16:J17"/>
    <mergeCell ref="K16:L16"/>
    <mergeCell ref="Q16:Q17"/>
    <mergeCell ref="R16:S16"/>
    <mergeCell ref="D15:H15"/>
    <mergeCell ref="K15:O15"/>
    <mergeCell ref="R15:V15"/>
    <mergeCell ref="X16:X17"/>
    <mergeCell ref="Y16:Z16"/>
    <mergeCell ref="AE16:AE19"/>
    <mergeCell ref="AP16:AS16"/>
    <mergeCell ref="D17:E17"/>
    <mergeCell ref="K17:L17"/>
    <mergeCell ref="R17:S17"/>
    <mergeCell ref="Y17:Z17"/>
    <mergeCell ref="AP17:AS17"/>
    <mergeCell ref="X18:X19"/>
    <mergeCell ref="C20:C21"/>
    <mergeCell ref="D20:E20"/>
    <mergeCell ref="J20:J21"/>
    <mergeCell ref="K20:L20"/>
    <mergeCell ref="Q20:Q21"/>
    <mergeCell ref="R20:S20"/>
    <mergeCell ref="Y18:Z18"/>
    <mergeCell ref="AP18:AS18"/>
    <mergeCell ref="D19:E19"/>
    <mergeCell ref="K19:L19"/>
    <mergeCell ref="R19:S19"/>
    <mergeCell ref="Y19:Z19"/>
    <mergeCell ref="AP19:AS19"/>
    <mergeCell ref="C18:C19"/>
    <mergeCell ref="D18:E18"/>
    <mergeCell ref="J18:J19"/>
    <mergeCell ref="K18:L18"/>
    <mergeCell ref="Q18:Q19"/>
    <mergeCell ref="R18:S18"/>
    <mergeCell ref="X20:X21"/>
    <mergeCell ref="Y20:Z20"/>
    <mergeCell ref="AE20:AE23"/>
    <mergeCell ref="AK20:AL20"/>
    <mergeCell ref="AP20:AS20"/>
    <mergeCell ref="D21:E21"/>
    <mergeCell ref="K21:L21"/>
    <mergeCell ref="R21:S21"/>
    <mergeCell ref="Y21:Z21"/>
    <mergeCell ref="AP21:AS21"/>
    <mergeCell ref="C24:C25"/>
    <mergeCell ref="D24:E24"/>
    <mergeCell ref="J24:J25"/>
    <mergeCell ref="K24:L24"/>
    <mergeCell ref="Q24:Q25"/>
    <mergeCell ref="R24:S24"/>
    <mergeCell ref="X22:X23"/>
    <mergeCell ref="Y22:Z22"/>
    <mergeCell ref="AP22:AS22"/>
    <mergeCell ref="D23:E23"/>
    <mergeCell ref="K23:L23"/>
    <mergeCell ref="R23:S23"/>
    <mergeCell ref="Y23:Z23"/>
    <mergeCell ref="AP23:AS23"/>
    <mergeCell ref="C22:C23"/>
    <mergeCell ref="D22:E22"/>
    <mergeCell ref="J22:J23"/>
    <mergeCell ref="K22:L22"/>
    <mergeCell ref="Q22:Q23"/>
    <mergeCell ref="R22:S22"/>
    <mergeCell ref="X24:X25"/>
    <mergeCell ref="Y24:Z24"/>
    <mergeCell ref="AE24:AE27"/>
    <mergeCell ref="AP24:AS24"/>
    <mergeCell ref="D25:E25"/>
    <mergeCell ref="K25:L25"/>
    <mergeCell ref="R25:S25"/>
    <mergeCell ref="Y25:Z25"/>
    <mergeCell ref="AP25:AS25"/>
    <mergeCell ref="X26:X27"/>
    <mergeCell ref="Y26:Z26"/>
    <mergeCell ref="AG26:AH26"/>
    <mergeCell ref="AI26:AJ26"/>
    <mergeCell ref="AP26:AS26"/>
    <mergeCell ref="D27:E27"/>
    <mergeCell ref="K27:L27"/>
    <mergeCell ref="R27:S27"/>
    <mergeCell ref="Y27:Z27"/>
    <mergeCell ref="AG27:AH28"/>
    <mergeCell ref="AI27:AJ28"/>
    <mergeCell ref="D26:E26"/>
    <mergeCell ref="J26:J27"/>
    <mergeCell ref="K26:L26"/>
    <mergeCell ref="Q26:Q27"/>
    <mergeCell ref="R26:S26"/>
    <mergeCell ref="AP31:AS31"/>
    <mergeCell ref="C32:D32"/>
    <mergeCell ref="Y32:AC32"/>
    <mergeCell ref="AP32:AS32"/>
    <mergeCell ref="P33:S33"/>
    <mergeCell ref="Y33:AC33"/>
    <mergeCell ref="AP33:AS33"/>
    <mergeCell ref="AP27:AS27"/>
    <mergeCell ref="C28:P28"/>
    <mergeCell ref="AP28:AS28"/>
    <mergeCell ref="Y29:AD30"/>
    <mergeCell ref="AG29:AJ31"/>
    <mergeCell ref="AP29:AS29"/>
    <mergeCell ref="C30:D30"/>
    <mergeCell ref="AP30:AS30"/>
    <mergeCell ref="I31:K31"/>
    <mergeCell ref="Y31:AC31"/>
    <mergeCell ref="C26:C27"/>
    <mergeCell ref="C36:D36"/>
    <mergeCell ref="AP36:AS36"/>
    <mergeCell ref="P37:U37"/>
    <mergeCell ref="X37:AC37"/>
    <mergeCell ref="AP37:AS37"/>
    <mergeCell ref="C38:D38"/>
    <mergeCell ref="Y38:AC38"/>
    <mergeCell ref="AP38:AS38"/>
    <mergeCell ref="C34:D34"/>
    <mergeCell ref="Y34:AC34"/>
    <mergeCell ref="AP34:AS34"/>
    <mergeCell ref="I35:K35"/>
    <mergeCell ref="P35:R35"/>
    <mergeCell ref="AP35:AS35"/>
    <mergeCell ref="C42:D42"/>
    <mergeCell ref="AP42:AS42"/>
    <mergeCell ref="I43:K43"/>
    <mergeCell ref="AP43:AS43"/>
    <mergeCell ref="C44:D44"/>
    <mergeCell ref="AP44:AS44"/>
    <mergeCell ref="I39:K39"/>
    <mergeCell ref="P39:R39"/>
    <mergeCell ref="AP39:AS39"/>
    <mergeCell ref="C40:D40"/>
    <mergeCell ref="AP40:AS40"/>
    <mergeCell ref="P41:S41"/>
    <mergeCell ref="AP41:AS41"/>
    <mergeCell ref="B49:D49"/>
    <mergeCell ref="AP49:AS49"/>
    <mergeCell ref="I50:K50"/>
    <mergeCell ref="Y50:AC50"/>
    <mergeCell ref="AP50:AS50"/>
    <mergeCell ref="Y51:AC51"/>
    <mergeCell ref="AP51:AS51"/>
    <mergeCell ref="AP45:AS45"/>
    <mergeCell ref="AP46:AS46"/>
    <mergeCell ref="AP47:AS47"/>
    <mergeCell ref="I48:W49"/>
    <mergeCell ref="Y48:AD49"/>
    <mergeCell ref="AP48:AS48"/>
    <mergeCell ref="P56:U56"/>
    <mergeCell ref="X56:AC56"/>
    <mergeCell ref="Y57:AC57"/>
    <mergeCell ref="I58:K58"/>
    <mergeCell ref="P58:R58"/>
    <mergeCell ref="P60:S60"/>
    <mergeCell ref="P52:S52"/>
    <mergeCell ref="Y52:AC52"/>
    <mergeCell ref="AP52:AS52"/>
    <mergeCell ref="Y53:AC53"/>
    <mergeCell ref="AP53:AS53"/>
    <mergeCell ref="I54:K54"/>
    <mergeCell ref="P54:R54"/>
    <mergeCell ref="AP54:AS54"/>
    <mergeCell ref="I68:K68"/>
    <mergeCell ref="Y68:AC68"/>
    <mergeCell ref="AP68:AS68"/>
    <mergeCell ref="Y69:AC69"/>
    <mergeCell ref="AP69:AS69"/>
    <mergeCell ref="P70:S70"/>
    <mergeCell ref="Y70:AC70"/>
    <mergeCell ref="AP70:AS70"/>
    <mergeCell ref="I62:K62"/>
    <mergeCell ref="AP65:AS65"/>
    <mergeCell ref="I66:W67"/>
    <mergeCell ref="Y66:AD67"/>
    <mergeCell ref="AP66:AS66"/>
    <mergeCell ref="AP67:AS67"/>
    <mergeCell ref="Y75:AC75"/>
    <mergeCell ref="I76:K76"/>
    <mergeCell ref="P76:R76"/>
    <mergeCell ref="P78:S78"/>
    <mergeCell ref="I80:K80"/>
    <mergeCell ref="AP83:AS83"/>
    <mergeCell ref="Y71:AC71"/>
    <mergeCell ref="AP71:AS71"/>
    <mergeCell ref="I72:K72"/>
    <mergeCell ref="P72:R72"/>
    <mergeCell ref="AP72:AS72"/>
    <mergeCell ref="P74:U74"/>
    <mergeCell ref="X74:AC74"/>
    <mergeCell ref="Y87:AC87"/>
    <mergeCell ref="AP87:AS87"/>
    <mergeCell ref="P88:S88"/>
    <mergeCell ref="Y88:AC88"/>
    <mergeCell ref="AP88:AS88"/>
    <mergeCell ref="Y89:AC89"/>
    <mergeCell ref="AP89:AS89"/>
    <mergeCell ref="I84:W85"/>
    <mergeCell ref="Y84:AD85"/>
    <mergeCell ref="AP84:AS84"/>
    <mergeCell ref="AP85:AS85"/>
    <mergeCell ref="I86:K86"/>
    <mergeCell ref="Y86:AC86"/>
    <mergeCell ref="AP86:AS86"/>
    <mergeCell ref="I94:K94"/>
    <mergeCell ref="P94:R94"/>
    <mergeCell ref="P96:S96"/>
    <mergeCell ref="I98:K98"/>
    <mergeCell ref="BA100:CH100"/>
    <mergeCell ref="BB101:BN101"/>
    <mergeCell ref="I90:K90"/>
    <mergeCell ref="P90:R90"/>
    <mergeCell ref="AP90:AS90"/>
    <mergeCell ref="P92:U92"/>
    <mergeCell ref="X92:AC92"/>
    <mergeCell ref="Y93:AC93"/>
    <mergeCell ref="BO107:BQ108"/>
    <mergeCell ref="BC109:BL109"/>
    <mergeCell ref="BM109:BQ109"/>
    <mergeCell ref="BB104:BC104"/>
    <mergeCell ref="BB105:BC106"/>
    <mergeCell ref="BD105:BF106"/>
    <mergeCell ref="BG105:BI106"/>
    <mergeCell ref="BJ105:BL106"/>
    <mergeCell ref="BO105:BQ106"/>
    <mergeCell ref="BB113:BC114"/>
    <mergeCell ref="BB116:BC117"/>
    <mergeCell ref="BB118:BC119"/>
    <mergeCell ref="BB121:BC122"/>
    <mergeCell ref="BB123:BC124"/>
    <mergeCell ref="BB107:BC108"/>
    <mergeCell ref="BD107:BF108"/>
    <mergeCell ref="BG107:BI108"/>
    <mergeCell ref="BJ107:BL108"/>
    <mergeCell ref="BA152:CH152"/>
    <mergeCell ref="BB2:BT11"/>
    <mergeCell ref="BB137:BC138"/>
    <mergeCell ref="BB139:BC140"/>
    <mergeCell ref="BB142:BC143"/>
    <mergeCell ref="BB144:BC145"/>
    <mergeCell ref="BB147:BC148"/>
    <mergeCell ref="BB149:BC150"/>
    <mergeCell ref="BB133:BC134"/>
    <mergeCell ref="BD133:BF134"/>
    <mergeCell ref="BG133:BI134"/>
    <mergeCell ref="BJ133:BL134"/>
    <mergeCell ref="BO133:BQ134"/>
    <mergeCell ref="BC135:BL135"/>
    <mergeCell ref="BM135:BQ135"/>
    <mergeCell ref="BA126:CH126"/>
    <mergeCell ref="BB127:BN127"/>
    <mergeCell ref="BB130:BC130"/>
    <mergeCell ref="BB131:BC132"/>
    <mergeCell ref="BD131:BF132"/>
    <mergeCell ref="BG131:BI132"/>
    <mergeCell ref="BJ131:BL132"/>
    <mergeCell ref="BO131:BQ132"/>
    <mergeCell ref="BB111:BC112"/>
  </mergeCells>
  <printOptions horizontalCentered="1" verticalCentered="1"/>
  <pageMargins left="0.19685039370078741" right="0.19685039370078741" top="0" bottom="0" header="0.15748031496062992" footer="0.15748031496062992"/>
  <pageSetup paperSize="9"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CP155"/>
  <sheetViews>
    <sheetView showGridLines="0" zoomScale="80" zoomScaleNormal="80" workbookViewId="0">
      <selection activeCell="BV7" sqref="BV7"/>
    </sheetView>
  </sheetViews>
  <sheetFormatPr defaultRowHeight="12.75"/>
  <cols>
    <col min="1" max="1" width="1.42578125" style="1" customWidth="1"/>
    <col min="2" max="2" width="2.140625" style="1" customWidth="1"/>
    <col min="3" max="3" width="3.28515625" style="34" customWidth="1"/>
    <col min="4" max="4" width="24.140625" style="1" customWidth="1"/>
    <col min="5" max="5" width="2.85546875" style="1" customWidth="1"/>
    <col min="6" max="9" width="3.28515625" style="1" customWidth="1"/>
    <col min="10" max="10" width="3.28515625" style="34" customWidth="1"/>
    <col min="11" max="11" width="24.140625" style="1" customWidth="1"/>
    <col min="12" max="12" width="2.85546875" style="1" customWidth="1"/>
    <col min="13" max="13" width="3.42578125" style="1" customWidth="1"/>
    <col min="14" max="16" width="3.28515625" style="1" customWidth="1"/>
    <col min="17" max="17" width="3.28515625" style="34" customWidth="1"/>
    <col min="18" max="18" width="24.140625" style="1" customWidth="1"/>
    <col min="19" max="19" width="2.85546875" style="1" customWidth="1"/>
    <col min="20" max="23" width="3.28515625" style="1" customWidth="1"/>
    <col min="24" max="24" width="3.28515625" style="34" customWidth="1"/>
    <col min="25" max="25" width="24.140625" style="1" customWidth="1"/>
    <col min="26" max="26" width="1.85546875" style="1" customWidth="1"/>
    <col min="27" max="29" width="3.28515625" style="1" customWidth="1"/>
    <col min="30" max="30" width="4" style="1" customWidth="1"/>
    <col min="31" max="31" width="6.140625" style="1" customWidth="1"/>
    <col min="32" max="32" width="5" style="1" hidden="1" customWidth="1"/>
    <col min="33" max="36" width="5.85546875" style="1" hidden="1" customWidth="1"/>
    <col min="37" max="38" width="6.85546875" style="1" hidden="1" customWidth="1"/>
    <col min="39" max="39" width="6.7109375" style="1" hidden="1" customWidth="1"/>
    <col min="40" max="41" width="9.140625" style="1" hidden="1" customWidth="1"/>
    <col min="42" max="45" width="3.28515625" style="1" hidden="1" customWidth="1"/>
    <col min="46" max="46" width="11" style="1" hidden="1" customWidth="1"/>
    <col min="47" max="48" width="9.140625" style="1" hidden="1" customWidth="1"/>
    <col min="49" max="49" width="14" style="1" hidden="1" customWidth="1"/>
    <col min="50" max="51" width="9.140625" style="1" hidden="1" customWidth="1"/>
    <col min="52" max="52" width="13.85546875" style="1" hidden="1" customWidth="1"/>
    <col min="53" max="53" width="2.85546875" style="1" hidden="1" customWidth="1"/>
    <col min="54" max="54" width="34.7109375" style="1" hidden="1" customWidth="1"/>
    <col min="55" max="55" width="8.140625" style="1" hidden="1" customWidth="1"/>
    <col min="56" max="68" width="3.28515625" style="1" hidden="1" customWidth="1"/>
    <col min="69" max="85" width="3.28515625" style="1" customWidth="1"/>
    <col min="86" max="86" width="2.85546875" style="1" customWidth="1"/>
    <col min="87" max="87" width="9.140625" style="1"/>
    <col min="88" max="88" width="7.5703125" style="1" customWidth="1"/>
    <col min="89" max="91" width="9.140625" style="1"/>
    <col min="92" max="92" width="22" style="1" customWidth="1"/>
    <col min="93" max="94" width="27.28515625" style="1" customWidth="1"/>
    <col min="95" max="16384" width="9.140625" style="1"/>
  </cols>
  <sheetData>
    <row r="1" spans="2:72" ht="9" customHeight="1"/>
    <row r="2" spans="2:72" ht="28.5" customHeight="1">
      <c r="B2" s="125"/>
      <c r="C2" s="443" t="s">
        <v>239</v>
      </c>
      <c r="D2" s="443"/>
      <c r="E2" s="443"/>
      <c r="F2" s="443"/>
      <c r="G2" s="110"/>
      <c r="H2" s="444" t="s">
        <v>241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110"/>
      <c r="Z2" s="110"/>
      <c r="AA2" s="110"/>
      <c r="AB2" s="110"/>
      <c r="AC2" s="110"/>
      <c r="AD2" s="110" t="s">
        <v>18</v>
      </c>
      <c r="AE2" s="3"/>
      <c r="AN2" s="445" t="s">
        <v>61</v>
      </c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</row>
    <row r="3" spans="2:72" ht="20.25" customHeight="1">
      <c r="B3" s="126"/>
      <c r="C3" s="446" t="s">
        <v>240</v>
      </c>
      <c r="D3" s="446"/>
      <c r="E3" s="446"/>
      <c r="F3" s="446"/>
      <c r="G3" s="111"/>
      <c r="H3" s="447" t="s">
        <v>31</v>
      </c>
      <c r="I3" s="447"/>
      <c r="J3" s="447"/>
      <c r="K3" s="447"/>
      <c r="L3" s="447"/>
      <c r="M3" s="447"/>
      <c r="N3" s="447"/>
      <c r="O3" s="447"/>
      <c r="P3" s="112" t="s">
        <v>32</v>
      </c>
      <c r="Q3" s="448" t="s">
        <v>63</v>
      </c>
      <c r="R3" s="448"/>
      <c r="S3" s="448"/>
      <c r="T3" s="448"/>
      <c r="U3" s="448"/>
      <c r="V3" s="448"/>
      <c r="W3" s="448"/>
      <c r="X3" s="448"/>
      <c r="Y3" s="111"/>
      <c r="Z3" s="111"/>
      <c r="AA3" s="111"/>
      <c r="AB3" s="111"/>
      <c r="AC3" s="111"/>
      <c r="AD3" s="111"/>
      <c r="AE3" s="113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</row>
    <row r="4" spans="2:72" ht="13.5" customHeight="1" thickBot="1">
      <c r="B4" s="126"/>
      <c r="C4" s="115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P4" s="114" t="s">
        <v>20</v>
      </c>
      <c r="Q4" s="115"/>
      <c r="R4" s="114"/>
      <c r="S4" s="114"/>
      <c r="T4" s="114"/>
      <c r="U4" s="114"/>
      <c r="V4" s="114"/>
      <c r="W4" s="114" t="s">
        <v>19</v>
      </c>
      <c r="X4" s="115"/>
      <c r="Y4" s="114"/>
      <c r="Z4" s="114"/>
      <c r="AA4" s="114"/>
      <c r="AB4" s="114"/>
      <c r="AC4" s="114"/>
      <c r="AD4" s="114"/>
      <c r="AE4" s="116"/>
      <c r="AF4" s="106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</row>
    <row r="5" spans="2:72" ht="28.5" customHeight="1" thickBot="1">
      <c r="B5" s="126"/>
      <c r="C5" s="449" t="s">
        <v>7</v>
      </c>
      <c r="D5" s="450"/>
      <c r="E5" s="450"/>
      <c r="F5" s="450"/>
      <c r="G5" s="450"/>
      <c r="H5" s="450"/>
      <c r="I5" s="451"/>
      <c r="J5" s="449" t="s">
        <v>8</v>
      </c>
      <c r="K5" s="450"/>
      <c r="L5" s="450"/>
      <c r="M5" s="450"/>
      <c r="N5" s="450"/>
      <c r="O5" s="450"/>
      <c r="P5" s="451"/>
      <c r="Q5" s="449" t="s">
        <v>9</v>
      </c>
      <c r="R5" s="450"/>
      <c r="S5" s="450"/>
      <c r="T5" s="450"/>
      <c r="U5" s="450"/>
      <c r="V5" s="450"/>
      <c r="W5" s="451"/>
      <c r="X5" s="449" t="s">
        <v>10</v>
      </c>
      <c r="Y5" s="450"/>
      <c r="Z5" s="450"/>
      <c r="AA5" s="450"/>
      <c r="AB5" s="450"/>
      <c r="AC5" s="450"/>
      <c r="AD5" s="451"/>
      <c r="AE5" s="117"/>
      <c r="AF5" s="107"/>
      <c r="AG5" s="452" t="s">
        <v>48</v>
      </c>
      <c r="AH5" s="452"/>
      <c r="AI5" s="452"/>
      <c r="AJ5" s="452"/>
      <c r="AN5" s="454" t="s">
        <v>53</v>
      </c>
      <c r="AO5" s="454"/>
      <c r="AP5" s="454"/>
      <c r="AQ5" s="454"/>
      <c r="AR5" s="454"/>
      <c r="AS5" s="455"/>
      <c r="AT5" s="456" t="s">
        <v>52</v>
      </c>
      <c r="AU5" s="457"/>
      <c r="AV5" s="457"/>
      <c r="AW5" s="457"/>
      <c r="AX5" s="457"/>
      <c r="AY5" s="457"/>
      <c r="AZ5" s="458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</row>
    <row r="6" spans="2:72" ht="18" customHeight="1" thickBot="1">
      <c r="B6" s="126"/>
      <c r="C6" s="2"/>
      <c r="D6" s="459" t="s">
        <v>11</v>
      </c>
      <c r="E6" s="459"/>
      <c r="F6" s="459"/>
      <c r="G6" s="3"/>
      <c r="H6" s="4" t="s">
        <v>6</v>
      </c>
      <c r="I6" s="5"/>
      <c r="J6" s="2"/>
      <c r="K6" s="459" t="s">
        <v>11</v>
      </c>
      <c r="L6" s="459"/>
      <c r="M6" s="459"/>
      <c r="N6" s="3"/>
      <c r="O6" s="4" t="s">
        <v>6</v>
      </c>
      <c r="P6" s="5"/>
      <c r="Q6" s="2"/>
      <c r="R6" s="459" t="s">
        <v>11</v>
      </c>
      <c r="S6" s="459"/>
      <c r="T6" s="459"/>
      <c r="U6" s="3"/>
      <c r="V6" s="4" t="s">
        <v>6</v>
      </c>
      <c r="W6" s="5"/>
      <c r="X6" s="2"/>
      <c r="Y6" s="459" t="s">
        <v>11</v>
      </c>
      <c r="Z6" s="459"/>
      <c r="AA6" s="459"/>
      <c r="AB6" s="3"/>
      <c r="AC6" s="4" t="s">
        <v>6</v>
      </c>
      <c r="AD6" s="5"/>
      <c r="AE6" s="117"/>
      <c r="AF6" s="107"/>
      <c r="AG6" s="452"/>
      <c r="AH6" s="452"/>
      <c r="AI6" s="452"/>
      <c r="AJ6" s="452"/>
      <c r="AN6" s="241" t="s">
        <v>51</v>
      </c>
      <c r="AO6" s="242" t="s">
        <v>43</v>
      </c>
      <c r="AP6" s="460" t="s">
        <v>54</v>
      </c>
      <c r="AQ6" s="461"/>
      <c r="AR6" s="461"/>
      <c r="AS6" s="462"/>
      <c r="AT6" s="249" t="s">
        <v>62</v>
      </c>
      <c r="AU6" s="243" t="s">
        <v>55</v>
      </c>
      <c r="AV6" s="244" t="s">
        <v>56</v>
      </c>
      <c r="AW6" s="245" t="s">
        <v>57</v>
      </c>
      <c r="AX6" s="246" t="s">
        <v>58</v>
      </c>
      <c r="AY6" s="247" t="s">
        <v>59</v>
      </c>
      <c r="AZ6" s="248" t="s">
        <v>60</v>
      </c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</row>
    <row r="7" spans="2:72" ht="19.5" customHeight="1" thickBot="1">
      <c r="B7" s="126"/>
      <c r="C7" s="6"/>
      <c r="D7" s="442" t="s">
        <v>253</v>
      </c>
      <c r="E7" s="442"/>
      <c r="F7" s="442"/>
      <c r="G7" s="7" t="s">
        <v>17</v>
      </c>
      <c r="H7" s="8" t="str">
        <f>IF(COUNT(F$16,F$22,F$27)=0,"",SUM(AND(F$16&lt;&gt;"",F$17&lt;&gt;"",F$16&gt;F$17),AND(F$22&lt;&gt;"",F$23&lt;&gt;"",F$22&gt;F$23),AND(F$27&lt;&gt;"",F$26&lt;&gt;"",F$27&gt;F$26)))</f>
        <v/>
      </c>
      <c r="I7" s="9"/>
      <c r="J7" s="6"/>
      <c r="K7" s="442" t="s">
        <v>256</v>
      </c>
      <c r="L7" s="442"/>
      <c r="M7" s="442"/>
      <c r="N7" s="7" t="s">
        <v>17</v>
      </c>
      <c r="O7" s="8" t="str">
        <f>IF(COUNT(M$16,M$22,M$27)=0,"",SUM(AND(M$16&lt;&gt;"",M$17&lt;&gt;"",M$16&gt;M$17),AND(M$22&lt;&gt;"",M$23&lt;&gt;"",M$22&gt;M$23),AND(M$27&lt;&gt;"",M$26&lt;&gt;"",M$27&gt;M$26)))</f>
        <v/>
      </c>
      <c r="P7" s="9"/>
      <c r="Q7" s="6"/>
      <c r="R7" s="442" t="s">
        <v>257</v>
      </c>
      <c r="S7" s="442"/>
      <c r="T7" s="442"/>
      <c r="U7" s="7" t="s">
        <v>17</v>
      </c>
      <c r="V7" s="8" t="str">
        <f>IF(COUNT(T$16,T$22,T$27)=0,"",SUM(AND(T$16&lt;&gt;"",T$17&lt;&gt;"",T$16&gt;T$17),AND(T$22&lt;&gt;"",T$23&lt;&gt;"",T$22&gt;T$23),AND(T$27&lt;&gt;"",T$26&lt;&gt;"",T$27&gt;T$26)))</f>
        <v/>
      </c>
      <c r="W7" s="9"/>
      <c r="X7" s="6"/>
      <c r="Y7" s="442" t="s">
        <v>293</v>
      </c>
      <c r="Z7" s="442"/>
      <c r="AA7" s="442"/>
      <c r="AB7" s="7" t="s">
        <v>17</v>
      </c>
      <c r="AC7" s="8" t="str">
        <f>IF(COUNT(AA$16,AA$22,AA$27)=0,"",SUM(AND(AA$16&lt;&gt;"",AA$17&lt;&gt;"",AA$16&gt;AA$17),AND(AA$22&lt;&gt;"",AA$23&lt;&gt;"",AA$22&gt;AA$23),AND(AA$27&lt;&gt;"",AA$26&lt;&gt;"",AA$27&gt;AA$26)))</f>
        <v/>
      </c>
      <c r="AD7" s="9"/>
      <c r="AE7" s="113"/>
      <c r="AG7" s="453"/>
      <c r="AH7" s="453"/>
      <c r="AI7" s="453"/>
      <c r="AJ7" s="453"/>
      <c r="AN7" s="173">
        <f>IF($C16="","",$C16)</f>
        <v>1</v>
      </c>
      <c r="AO7" s="174" t="str">
        <f>IF($C$5="","",$C$5)</f>
        <v>Grupo A</v>
      </c>
      <c r="AP7" s="376" t="str">
        <f>IF($D$16="","",$D$16)</f>
        <v>Joana Eduardo (DSRLisboa)</v>
      </c>
      <c r="AQ7" s="377" t="str">
        <f t="shared" ref="AQ7:AS22" si="0">IF($C$5="","",$C$5)</f>
        <v>Grupo A</v>
      </c>
      <c r="AR7" s="377" t="str">
        <f t="shared" si="0"/>
        <v>Grupo A</v>
      </c>
      <c r="AS7" s="378" t="str">
        <f t="shared" si="0"/>
        <v>Grupo A</v>
      </c>
      <c r="AT7" s="176" t="str">
        <f>IF(COUNT($F$16:$F$17)&lt;2,"",IF($F$16&gt;$F$17,"V",IF($F$16&lt;$F$17,"D","Empate??")))</f>
        <v/>
      </c>
      <c r="AU7" s="177" t="str">
        <f>IF(COUNT($F$16:$F$17)&lt;2,"",$F$16)</f>
        <v/>
      </c>
      <c r="AV7" s="178" t="str">
        <f>IF(COUNT($F$16:$F$17)&lt;2,"",$F$17)</f>
        <v/>
      </c>
      <c r="AW7" s="179" t="str">
        <f>IF(COUNT($AU$7:$AV$7)=0,"",$AU$7-$AV$7)</f>
        <v/>
      </c>
      <c r="AX7" s="178" t="str">
        <f>IF(COUNT($F$16:$F$17)&lt;2,"",SUM($G$16:$I$16))</f>
        <v/>
      </c>
      <c r="AY7" s="180" t="str">
        <f>IF(COUNT($F$16:$F$17)&lt;2,"",SUM($G$17:$I$17))</f>
        <v/>
      </c>
      <c r="AZ7" s="181" t="str">
        <f>IF(COUNT($AX7:$AY7)=0,"",$AX7-$AY7)</f>
        <v/>
      </c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</row>
    <row r="8" spans="2:72" ht="19.5" customHeight="1">
      <c r="B8" s="126"/>
      <c r="C8" s="6"/>
      <c r="D8" s="442" t="s">
        <v>260</v>
      </c>
      <c r="E8" s="442"/>
      <c r="F8" s="442"/>
      <c r="G8" s="10" t="s">
        <v>17</v>
      </c>
      <c r="H8" s="8" t="str">
        <f>IF(COUNT(F$18,F$23,F$24)=0,"",SUM(AND(F$18&lt;&gt;"",F$19&lt;&gt;"",F$18&gt;F$19),AND(F$22&lt;&gt;"",F$23&lt;&gt;"",F$23&gt;F$22),AND(F$24&lt;&gt;"",F$25&lt;&gt;"",F$24&gt;F$25)))</f>
        <v/>
      </c>
      <c r="I8" s="9"/>
      <c r="J8" s="6"/>
      <c r="K8" s="442" t="s">
        <v>259</v>
      </c>
      <c r="L8" s="442"/>
      <c r="M8" s="442"/>
      <c r="N8" s="10" t="s">
        <v>17</v>
      </c>
      <c r="O8" s="8" t="str">
        <f>IF(COUNT(M$18,M$23,M$24)=0,"",SUM(AND(M$18&lt;&gt;"",M$19&lt;&gt;"",M$18&gt;M$19),AND(M$22&lt;&gt;"",M$23&lt;&gt;"",M$23&gt;M$22),AND(M$24&lt;&gt;"",M$25&lt;&gt;"",M$24&gt;M$25)))</f>
        <v/>
      </c>
      <c r="P8" s="9"/>
      <c r="Q8" s="6"/>
      <c r="R8" s="442" t="s">
        <v>258</v>
      </c>
      <c r="S8" s="442"/>
      <c r="T8" s="442"/>
      <c r="U8" s="10" t="s">
        <v>17</v>
      </c>
      <c r="V8" s="8" t="str">
        <f>IF(COUNT(T$18,T$23,T$24)=0,"",SUM(AND(T$18&lt;&gt;"",T$19&lt;&gt;"",T$18&gt;T$19),AND(T$22&lt;&gt;"",T$23&lt;&gt;"",T$23&gt;T$22),AND(T$24&lt;&gt;"",T$25&lt;&gt;"",T$24&gt;T$25)))</f>
        <v/>
      </c>
      <c r="W8" s="9"/>
      <c r="X8" s="6"/>
      <c r="Y8" s="442" t="s">
        <v>254</v>
      </c>
      <c r="Z8" s="442"/>
      <c r="AA8" s="442"/>
      <c r="AB8" s="10" t="s">
        <v>17</v>
      </c>
      <c r="AC8" s="8" t="str">
        <f>IF(COUNT(AA$18,AA$23,AA$24)=0,"",SUM(AND(AA$18&lt;&gt;"",AA$19&lt;&gt;"",AA$18&gt;AA$19),AND(AA$22&lt;&gt;"",AA$23&lt;&gt;"",AA$23&gt;AA$22),AND(AA$24&lt;&gt;"",AA$25&lt;&gt;"",AA$24&gt;AA$25)))</f>
        <v/>
      </c>
      <c r="AD8" s="9"/>
      <c r="AE8" s="113"/>
      <c r="AG8" s="438" t="s">
        <v>41</v>
      </c>
      <c r="AH8" s="440" t="s">
        <v>42</v>
      </c>
      <c r="AI8" s="438" t="s">
        <v>41</v>
      </c>
      <c r="AJ8" s="440" t="s">
        <v>42</v>
      </c>
      <c r="AN8" s="182">
        <f>IF($C16="","",$C16)</f>
        <v>1</v>
      </c>
      <c r="AO8" s="171" t="str">
        <f t="shared" ref="AO8:AO18" si="1">IF($C$5="","",$C$5)</f>
        <v>Grupo A</v>
      </c>
      <c r="AP8" s="367" t="str">
        <f>IF($D$17="","",$D$17)</f>
        <v/>
      </c>
      <c r="AQ8" s="368" t="str">
        <f t="shared" si="0"/>
        <v>Grupo A</v>
      </c>
      <c r="AR8" s="368" t="str">
        <f t="shared" si="0"/>
        <v>Grupo A</v>
      </c>
      <c r="AS8" s="369" t="str">
        <f t="shared" si="0"/>
        <v>Grupo A</v>
      </c>
      <c r="AT8" s="183" t="str">
        <f>IF(COUNT($F$16:$F$17)&lt;2,"",IF($F$16&lt;$F$17,"V",IF($F$16&gt;$F$17,"D","Empate??")))</f>
        <v/>
      </c>
      <c r="AU8" s="184" t="str">
        <f>IF(COUNT($F$16:$F$17)&lt;2,"",$F$17)</f>
        <v/>
      </c>
      <c r="AV8" s="185" t="str">
        <f>IF(COUNT($F$16:$F$17)&lt;2,"",$F$16)</f>
        <v/>
      </c>
      <c r="AW8" s="186" t="str">
        <f>IF(COUNT($AU8:$AV8)=0,"",$AU8-$AV8)</f>
        <v/>
      </c>
      <c r="AX8" s="185" t="str">
        <f>IF(COUNT($F$16:$F$17)&lt;2,"",SUM($G$17:$I$17))</f>
        <v/>
      </c>
      <c r="AY8" s="187" t="str">
        <f>IF(COUNT($F$16:$F$17)&lt;2,"",SUM($G$16:$I$16))</f>
        <v/>
      </c>
      <c r="AZ8" s="188" t="str">
        <f t="shared" ref="AZ8:AZ54" si="2">IF(COUNT($AX8:$AY8)=0,"",$AX8-$AY8)</f>
        <v/>
      </c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</row>
    <row r="9" spans="2:72" ht="19.5" customHeight="1" thickBot="1">
      <c r="B9" s="126"/>
      <c r="C9" s="6"/>
      <c r="D9" s="442"/>
      <c r="E9" s="442"/>
      <c r="F9" s="442"/>
      <c r="G9" s="10" t="s">
        <v>17</v>
      </c>
      <c r="H9" s="8" t="str">
        <f>IF(COUNT(F$19,F$21,F$26)=0,"",SUM(AND(F$18&lt;&gt;"",F$19&lt;&gt;"",F$19&gt;F$18),AND(F$20&lt;&gt;"",F$21&lt;&gt;"",F$21&gt;F$20),AND(F$26&lt;&gt;"",F$27&lt;&gt;"",F$26&gt;F$27)))</f>
        <v/>
      </c>
      <c r="I9" s="9"/>
      <c r="J9" s="6"/>
      <c r="K9" s="442"/>
      <c r="L9" s="442"/>
      <c r="M9" s="442"/>
      <c r="N9" s="10" t="s">
        <v>17</v>
      </c>
      <c r="O9" s="8" t="str">
        <f>IF(COUNT(M$19,M$21,M$26)=0,"",SUM(AND(M$18&lt;&gt;"",M$19&lt;&gt;"",M$19&gt;M$18),AND(M$20&lt;&gt;"",M$21&lt;&gt;"",M$21&gt;M$20),AND(M$26&lt;&gt;"",M$27&lt;&gt;"",M$26&gt;M$27)))</f>
        <v/>
      </c>
      <c r="P9" s="9"/>
      <c r="Q9" s="6"/>
      <c r="R9" s="442" t="s">
        <v>255</v>
      </c>
      <c r="S9" s="442"/>
      <c r="T9" s="442"/>
      <c r="U9" s="10" t="s">
        <v>17</v>
      </c>
      <c r="V9" s="8" t="str">
        <f>IF(COUNT(T$19,T$21,T$26)=0,"",SUM(AND(T$18&lt;&gt;"",T$19&lt;&gt;"",T$19&gt;T$18),AND(T$20&lt;&gt;"",T$21&lt;&gt;"",T$21&gt;T$20),AND(T$26&lt;&gt;"",T$27&lt;&gt;"",T$26&gt;T$27)))</f>
        <v/>
      </c>
      <c r="W9" s="9"/>
      <c r="X9" s="6"/>
      <c r="Y9" s="442" t="s">
        <v>292</v>
      </c>
      <c r="Z9" s="442"/>
      <c r="AA9" s="442"/>
      <c r="AB9" s="10" t="s">
        <v>17</v>
      </c>
      <c r="AC9" s="8" t="str">
        <f>IF(COUNT(AA$19,AA$21,AA$26)=0,"",SUM(AND(AA$18&lt;&gt;"",AA$19&lt;&gt;"",AA$19&gt;AA$18),AND(AA$20&lt;&gt;"",AA$21&lt;&gt;"",AA$21&gt;AA$20),AND(AA$26&lt;&gt;"",AA$27&lt;&gt;"",AA$26&gt;AA$27)))</f>
        <v/>
      </c>
      <c r="AD9" s="9"/>
      <c r="AE9" s="113"/>
      <c r="AG9" s="439"/>
      <c r="AH9" s="441"/>
      <c r="AI9" s="439"/>
      <c r="AJ9" s="441"/>
      <c r="AN9" s="189">
        <f>IF($C18="","",$C18)</f>
        <v>2</v>
      </c>
      <c r="AO9" s="172" t="str">
        <f t="shared" si="1"/>
        <v>Grupo A</v>
      </c>
      <c r="AP9" s="364" t="str">
        <f>IF($D$18="","",$D$18)</f>
        <v>Aida Nunes (DSRNorte)</v>
      </c>
      <c r="AQ9" s="365" t="str">
        <f t="shared" si="0"/>
        <v>Grupo A</v>
      </c>
      <c r="AR9" s="365" t="str">
        <f t="shared" si="0"/>
        <v>Grupo A</v>
      </c>
      <c r="AS9" s="366" t="str">
        <f t="shared" si="0"/>
        <v>Grupo A</v>
      </c>
      <c r="AT9" s="190" t="str">
        <f>IF(COUNT($F$18:$F$19)&lt;2,"",IF($F$18&gt;$F$19,"V",IF($F$18&lt;$F$19,"D","Empate??")))</f>
        <v/>
      </c>
      <c r="AU9" s="191" t="str">
        <f>IF(COUNT($F$18:$F$19)&lt;2,"",$F$18)</f>
        <v/>
      </c>
      <c r="AV9" s="192" t="str">
        <f>IF(COUNT($F$18:$F$19)&lt;2,"",$F$19)</f>
        <v/>
      </c>
      <c r="AW9" s="193" t="str">
        <f t="shared" ref="AW9:AW54" si="3">IF(COUNT($AU9:$AV9)=0,"",$AU9-$AV9)</f>
        <v/>
      </c>
      <c r="AX9" s="192" t="str">
        <f>IF(COUNT($F$18:$F$19)&lt;2,"",SUM($G$18:$I$18))</f>
        <v/>
      </c>
      <c r="AY9" s="194" t="str">
        <f>IF(COUNT($F$18:$F$19)&lt;2,"",SUM($G$19:$I$19))</f>
        <v/>
      </c>
      <c r="AZ9" s="195" t="str">
        <f t="shared" si="2"/>
        <v/>
      </c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</row>
    <row r="10" spans="2:72" ht="19.5" customHeight="1" thickBot="1">
      <c r="B10" s="126"/>
      <c r="C10" s="6"/>
      <c r="D10" s="442"/>
      <c r="E10" s="442"/>
      <c r="F10" s="442"/>
      <c r="G10" s="10" t="s">
        <v>17</v>
      </c>
      <c r="H10" s="11" t="str">
        <f>IF(COUNT(F$17,F$20,F$25)=0,"",SUM(AND(F$16&lt;&gt;"",F$17&lt;&gt;"",F$17&gt;F$16),AND(F$20&lt;&gt;"",F$21&lt;&gt;"",F$20&gt;F$21),AND(F$24&lt;&gt;"",F$25&lt;&gt;"",F$25&gt;F$24)))</f>
        <v/>
      </c>
      <c r="I10" s="12"/>
      <c r="J10" s="6"/>
      <c r="K10" s="442"/>
      <c r="L10" s="442"/>
      <c r="M10" s="442"/>
      <c r="N10" s="10" t="s">
        <v>17</v>
      </c>
      <c r="O10" s="11" t="str">
        <f>IF(COUNT(M$17,M$20,M$25)=0,"",SUM(AND(M$16&lt;&gt;"",M$17&lt;&gt;"",M$17&gt;M$16),AND(M$20&lt;&gt;"",M$21&lt;&gt;"",M$20&gt;M$21),AND(M$24&lt;&gt;"",M$25&lt;&gt;"",M$25&gt;M$24)))</f>
        <v/>
      </c>
      <c r="P10" s="12"/>
      <c r="Q10" s="6"/>
      <c r="R10" s="442"/>
      <c r="S10" s="442"/>
      <c r="T10" s="442"/>
      <c r="U10" s="10" t="s">
        <v>17</v>
      </c>
      <c r="V10" s="11" t="str">
        <f>IF(COUNT(T$17,T$20,T$25)=0,"",SUM(AND(T$16&lt;&gt;"",T$17&lt;&gt;"",T$17&gt;T$16),AND(T$20&lt;&gt;"",T$21&lt;&gt;"",T$20&gt;T$21),AND(T$24&lt;&gt;"",T$25&lt;&gt;"",T$25&gt;T$24)))</f>
        <v/>
      </c>
      <c r="W10" s="12"/>
      <c r="X10" s="6"/>
      <c r="Y10" s="442"/>
      <c r="Z10" s="442"/>
      <c r="AA10" s="442"/>
      <c r="AB10" s="10" t="s">
        <v>17</v>
      </c>
      <c r="AC10" s="11" t="str">
        <f>IF(COUNT(AA$17,AA$20,AA$25)=0,"",SUM(AND(AA$16&lt;&gt;"",AA$17&lt;&gt;"",AA$17&gt;AA$16),AND(AA$20&lt;&gt;"",AA$21&lt;&gt;"",AA$20&gt;AA$21),AND(AA$24&lt;&gt;"",AA$25&lt;&gt;"",AA$25&gt;AA$24)))</f>
        <v/>
      </c>
      <c r="AD10" s="12"/>
      <c r="AE10" s="113"/>
      <c r="AG10" s="159">
        <f>$C$16</f>
        <v>1</v>
      </c>
      <c r="AH10" s="160"/>
      <c r="AI10" s="159">
        <f>$C$24</f>
        <v>17</v>
      </c>
      <c r="AJ10" s="160"/>
      <c r="AK10" s="431" t="s">
        <v>50</v>
      </c>
      <c r="AL10" s="432"/>
      <c r="AN10" s="182">
        <f>IF($C18="","",$C18)</f>
        <v>2</v>
      </c>
      <c r="AO10" s="171" t="str">
        <f t="shared" si="1"/>
        <v>Grupo A</v>
      </c>
      <c r="AP10" s="367" t="str">
        <f>IF($D$19="","",$D$19)</f>
        <v/>
      </c>
      <c r="AQ10" s="368" t="str">
        <f t="shared" si="0"/>
        <v>Grupo A</v>
      </c>
      <c r="AR10" s="368" t="str">
        <f t="shared" si="0"/>
        <v>Grupo A</v>
      </c>
      <c r="AS10" s="369" t="str">
        <f t="shared" si="0"/>
        <v>Grupo A</v>
      </c>
      <c r="AT10" s="183" t="str">
        <f>IF(COUNT($F$18:$F$19)&lt;2,"",IF($F$18&lt;$F$19,"V",IF($F$18&gt;$F$19,"D","Empate??")))</f>
        <v/>
      </c>
      <c r="AU10" s="184" t="str">
        <f>IF(COUNT($F$18:$F$19)&lt;2,"",$F$19)</f>
        <v/>
      </c>
      <c r="AV10" s="185" t="str">
        <f>IF(COUNT($F$18:$F$19)&lt;2,"",$F$18)</f>
        <v/>
      </c>
      <c r="AW10" s="186" t="str">
        <f t="shared" si="3"/>
        <v/>
      </c>
      <c r="AX10" s="185" t="str">
        <f>IF(COUNT($F$18:$F$19)&lt;2,"",SUM($G$19:$I$19))</f>
        <v/>
      </c>
      <c r="AY10" s="187" t="str">
        <f>IF(COUNT($F$18:$F$19)&lt;2,"",SUM($G$18:$I$18))</f>
        <v/>
      </c>
      <c r="AZ10" s="188" t="str">
        <f t="shared" si="2"/>
        <v/>
      </c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</row>
    <row r="11" spans="2:72" ht="17.25" customHeight="1">
      <c r="B11" s="126"/>
      <c r="C11" s="435" t="s">
        <v>16</v>
      </c>
      <c r="D11" s="436"/>
      <c r="E11" s="436"/>
      <c r="F11" s="436"/>
      <c r="G11" s="436"/>
      <c r="H11" s="436"/>
      <c r="I11" s="437"/>
      <c r="J11" s="435" t="s">
        <v>16</v>
      </c>
      <c r="K11" s="436"/>
      <c r="L11" s="436"/>
      <c r="M11" s="436"/>
      <c r="N11" s="436"/>
      <c r="O11" s="436"/>
      <c r="P11" s="437"/>
      <c r="Q11" s="435" t="s">
        <v>16</v>
      </c>
      <c r="R11" s="436"/>
      <c r="S11" s="436"/>
      <c r="T11" s="436"/>
      <c r="U11" s="436"/>
      <c r="V11" s="436"/>
      <c r="W11" s="437"/>
      <c r="X11" s="435" t="s">
        <v>16</v>
      </c>
      <c r="Y11" s="436"/>
      <c r="Z11" s="436"/>
      <c r="AA11" s="436"/>
      <c r="AB11" s="436"/>
      <c r="AC11" s="436"/>
      <c r="AD11" s="437"/>
      <c r="AE11" s="113"/>
      <c r="AG11" s="109">
        <f>$C$18</f>
        <v>2</v>
      </c>
      <c r="AH11" s="161"/>
      <c r="AI11" s="109">
        <f>$C$26</f>
        <v>18</v>
      </c>
      <c r="AJ11" s="161"/>
      <c r="AK11" s="159">
        <f>$O$52</f>
        <v>33</v>
      </c>
      <c r="AL11" s="160"/>
      <c r="AN11" s="189">
        <f>IF($C20="","",$C20)</f>
        <v>9</v>
      </c>
      <c r="AO11" s="172" t="str">
        <f t="shared" si="1"/>
        <v>Grupo A</v>
      </c>
      <c r="AP11" s="364" t="str">
        <f>IF($D$20="","",$D$20)</f>
        <v/>
      </c>
      <c r="AQ11" s="365" t="str">
        <f t="shared" si="0"/>
        <v>Grupo A</v>
      </c>
      <c r="AR11" s="365" t="str">
        <f t="shared" si="0"/>
        <v>Grupo A</v>
      </c>
      <c r="AS11" s="366" t="str">
        <f t="shared" si="0"/>
        <v>Grupo A</v>
      </c>
      <c r="AT11" s="190" t="str">
        <f>IF(COUNT($F$20:$F$21)&lt;2,"",IF($F$20&gt;$F$21,"V",IF($F$20&lt;$F$21,"D","Empate??")))</f>
        <v/>
      </c>
      <c r="AU11" s="191" t="str">
        <f>IF(COUNT($F$20:$F$21)&lt;2,"",$F$20)</f>
        <v/>
      </c>
      <c r="AV11" s="192" t="str">
        <f>IF(COUNT($F$20:$F$21)&lt;2,"",$F$21)</f>
        <v/>
      </c>
      <c r="AW11" s="193" t="str">
        <f t="shared" si="3"/>
        <v/>
      </c>
      <c r="AX11" s="192" t="str">
        <f>IF(COUNT($F$20:$F$21)&lt;2,"",SUM($G$20:$I$20))</f>
        <v/>
      </c>
      <c r="AY11" s="194" t="str">
        <f>IF(COUNT($F$20:$F$21)&lt;2,"",SUM($G$21:$I$21))</f>
        <v/>
      </c>
      <c r="AZ11" s="195" t="str">
        <f t="shared" si="2"/>
        <v/>
      </c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</row>
    <row r="12" spans="2:72" ht="15" customHeight="1">
      <c r="B12" s="126"/>
      <c r="C12" s="13" t="s">
        <v>12</v>
      </c>
      <c r="D12" s="433" t="str">
        <f>IF(COUNTIF(H$7:H$10,"")&gt;2,"",IF(COUNTIF(H$7:H$10,"")=2,(IF(LARGE(H$7:H$10,1)=H$7,D$7,IF(LARGE(H$7:H$10,1)=H$8,D$8,IF(LARGE(H$7:H$10,1)=H$9,D$9,IF(LARGE(H$7:H$10,1)=H$10,D$10))))),IF(COUNTIF(H$7:H$10,"")=1,(IF(AND(LARGE(H$7:H$10,1)=LARGE(H$7:H$10,2),LARGE(H$7:H$10,2)=LARGE(H$7:H$10,3)),"empate entre 1º, 2º e 3º",IF(LARGE(H$7:H$10,1)=H$7,D$7,IF(LARGE(H$7:H$10,1)=H$8,D$8,IF(LARGE(H$7:H$10,1)=H$9,D$9,IF(LARGE(H$7:H$10,1)=H$10,D$10)))))),IF(COUNTIF(H$7:H$10,2)=2,"empate entre 1º e 2º",IF(COUNTIF(H$7:H$10,2)=3,"empate entre 1º, 2º e 3º",IF(LARGE(H$7:H$10,1)=H$7,D$7,IF(LARGE(H$7:H$10,1)=H$8,D$8,IF(LARGE(H$7:H$10,1)=H$9,D$9,IF(LARGE(H$7:H$10,1)=H$10,D$10)))))))))</f>
        <v/>
      </c>
      <c r="E12" s="433"/>
      <c r="F12" s="433"/>
      <c r="G12" s="433"/>
      <c r="H12" s="433"/>
      <c r="I12" s="14"/>
      <c r="J12" s="13" t="s">
        <v>12</v>
      </c>
      <c r="K12" s="433" t="str">
        <f>IF(COUNTIF(O$7:O$10,"")&gt;2,"",IF(COUNTIF(O$7:O$10,"")=2,(IF(LARGE(O$7:O$10,1)=O$7,K$7,IF(LARGE(O$7:O$10,1)=O$8,K$8,IF(LARGE(O$7:O$10,1)=O$9,K$9,IF(LARGE(O$7:O$10,1)=O$10,K$10))))),IF(COUNTIF(O$7:O$10,"")=1,(IF(AND(LARGE(O$7:O$10,1)=LARGE(O$7:O$10,2),LARGE(O$7:O$10,2)=LARGE(O$7:O$10,3)),"empate entre 1º, 2º e 3º",IF(LARGE(O$7:O$10,1)=O$7,K$7,IF(LARGE(O$7:O$10,1)=O$8,K$8,IF(LARGE(O$7:O$10,1)=O$9,K$9,IF(LARGE(O$7:O$10,1)=O$10,K$10)))))),IF(COUNTIF(O$7:O$10,2)=2,"empate entre 1º e 2º",IF(COUNTIF(O$7:O$10,2)=3,"empate entre 1º, 2º e 3º",IF(LARGE(O$7:O$10,1)=O$7,K$7,IF(LARGE(O$7:O$10,1)=O$8,K$8,IF(LARGE(O$7:O$10,1)=O$9,K$9,IF(LARGE(O$7:O$10,1)=O$10,K$10)))))))))</f>
        <v/>
      </c>
      <c r="L12" s="433"/>
      <c r="M12" s="433"/>
      <c r="N12" s="433"/>
      <c r="O12" s="433"/>
      <c r="P12" s="14"/>
      <c r="Q12" s="13" t="s">
        <v>12</v>
      </c>
      <c r="R12" s="433" t="str">
        <f>IF(COUNTIF(V$7:V$10,"")&gt;2,"",IF(COUNTIF(V$7:V$10,"")=2,(IF(LARGE(V$7:V$10,1)=V$7,R$7,IF(LARGE(V$7:V$10,1)=V$8,R$8,IF(LARGE(V$7:V$10,1)=V$9,R$9,IF(LARGE(V$7:V$10,1)=V$10,R$10))))),IF(COUNTIF(V$7:V$10,"")=1,(IF(AND(LARGE(V$7:V$10,1)=LARGE(V$7:V$10,2),LARGE(V$7:V$10,2)=LARGE(V$7:V$10,3)),"empate entre 1º, 2º e 3º",IF(LARGE(V$7:V$10,1)=V$7,R$7,IF(LARGE(V$7:V$10,1)=V$8,R$8,IF(LARGE(V$7:V$10,1)=V$9,R$9,IF(LARGE(V$7:V$10,1)=V$10,R$10)))))),IF(COUNTIF(V$7:V$10,2)=2,"empate entre 1º e 2º",IF(COUNTIF(V$7:V$10,2)=3,"empate entre 1º, 2º e 3º",IF(LARGE(V$7:V$10,1)=V$7,R$7,IF(LARGE(V$7:V$10,1)=V$8,R$8,IF(LARGE(V$7:V$10,1)=V$9,R$9,IF(LARGE(V$7:V$10,1)=V$10,R$10)))))))))</f>
        <v/>
      </c>
      <c r="S12" s="433"/>
      <c r="T12" s="433"/>
      <c r="U12" s="433"/>
      <c r="V12" s="433"/>
      <c r="W12" s="14"/>
      <c r="X12" s="13" t="s">
        <v>12</v>
      </c>
      <c r="Y12" s="433" t="str">
        <f>IF(COUNTIF(AC$7:AC$10,"")&gt;2,"",IF(COUNTIF(AC$7:AC$10,"")=2,(IF(LARGE(AC$7:AC$10,1)=AC$7,Y$7,IF(LARGE(AC$7:AC$10,1)=AC$8,Y$8,IF(LARGE(AC$7:AC$10,1)=AC$9,Y$9,IF(LARGE(AC$7:AC$10,1)=AC$10,Y$10))))),IF(COUNTIF(AC$7:AC$10,"")=1,(IF(AND(LARGE(AC$7:AC$10,1)=LARGE(AC$7:AC$10,2),LARGE(AC$7:AC$10,2)=LARGE(AC$7:AC$10,3)),"empate entre 1º, 2º e 3º",IF(LARGE(AC$7:AC$10,1)=AC$7,Y$7,IF(LARGE(AC$7:AC$10,1)=AC$8,Y$8,IF(LARGE(AC$7:AC$10,1)=AC$9,Y$9,IF(LARGE(AC$7:AC$10,1)=AC$10,Y$10)))))),IF(COUNTIF(AC$7:AC$10,2)=2,"empate entre 1º e 2º",IF(COUNTIF(AC$7:AC$10,2)=3,"empate entre 1º, 2º e 3º",IF(LARGE(AC$7:AC$10,1)=AC$7,Y$7,IF(LARGE(AC$7:AC$10,1)=AC$8,Y$8,IF(LARGE(AC$7:AC$10,1)=AC$9,Y$9,IF(LARGE(AC$7:AC$10,1)=AC$10,Y$10)))))))))</f>
        <v/>
      </c>
      <c r="Z12" s="433"/>
      <c r="AA12" s="433"/>
      <c r="AB12" s="433"/>
      <c r="AC12" s="433"/>
      <c r="AD12" s="14"/>
      <c r="AE12" s="113"/>
      <c r="AG12" s="109">
        <f>$J$16</f>
        <v>3</v>
      </c>
      <c r="AH12" s="161"/>
      <c r="AI12" s="109">
        <f>$J$24</f>
        <v>19</v>
      </c>
      <c r="AJ12" s="161"/>
      <c r="AK12" s="109">
        <f>$O$60</f>
        <v>34</v>
      </c>
      <c r="AL12" s="161"/>
      <c r="AN12" s="182">
        <f>IF($C20="","",$C20)</f>
        <v>9</v>
      </c>
      <c r="AO12" s="171" t="str">
        <f t="shared" si="1"/>
        <v>Grupo A</v>
      </c>
      <c r="AP12" s="367" t="str">
        <f>IF($D$21="","",$D$21)</f>
        <v/>
      </c>
      <c r="AQ12" s="368" t="str">
        <f t="shared" si="0"/>
        <v>Grupo A</v>
      </c>
      <c r="AR12" s="368" t="str">
        <f t="shared" si="0"/>
        <v>Grupo A</v>
      </c>
      <c r="AS12" s="369" t="str">
        <f t="shared" si="0"/>
        <v>Grupo A</v>
      </c>
      <c r="AT12" s="183" t="str">
        <f>IF(COUNT($F$20:$F$21)&lt;2,"",IF($F$20&lt;$F$21,"V",IF($F$20&gt;$F$21,"D","Empate??")))</f>
        <v/>
      </c>
      <c r="AU12" s="184" t="str">
        <f>IF(COUNT($F$20:$F$21)&lt;2,"",$F$21)</f>
        <v/>
      </c>
      <c r="AV12" s="185" t="str">
        <f>IF(COUNT($F$20:$F$21)&lt;2,"",$F$20)</f>
        <v/>
      </c>
      <c r="AW12" s="186" t="str">
        <f t="shared" si="3"/>
        <v/>
      </c>
      <c r="AX12" s="185" t="str">
        <f>IF(COUNT($F$20:$F$21)&lt;2,"",SUM($G$21:$I$21))</f>
        <v/>
      </c>
      <c r="AY12" s="187" t="str">
        <f>IF(COUNT($F$20:$F$21)&lt;2,"",SUM($G$20:$I$20))</f>
        <v/>
      </c>
      <c r="AZ12" s="188" t="str">
        <f t="shared" si="2"/>
        <v/>
      </c>
      <c r="BB12" s="240"/>
      <c r="BC12" s="240"/>
    </row>
    <row r="13" spans="2:72" ht="15" customHeight="1">
      <c r="B13" s="126"/>
      <c r="C13" s="13" t="s">
        <v>13</v>
      </c>
      <c r="D13" s="433" t="str">
        <f>IF(COUNTIF(H$7:H$10,"")&gt;2,"",IF(COUNTIF(H$7:H$10,"")=2,(IF(LARGE(H$7:H$10,2)=H$7,D$7,IF(LARGE(H$7:H$10,2)=H$8,D$8,IF(LARGE(H$7:H$10,2)=H$9,D$9,IF(LARGE(H$7:H$10,2)=H$10,D$10))))),IF(COUNTIF(H$7:H$10,"")=1,(IF(AND(LARGE(H$7:H$10,1)=LARGE(H$7:H$10,2),LARGE(H$7:H$10,2)=LARGE(H$7:H$10,3)),"empate entre 1º, 2º e 3º",IF(LARGE(H$7:H$10,2)=H$7,D$7,IF(LARGE(H$7:H$10,2)=H$8,D$8,IF(LARGE(H$7:H$10,2)=H$9,D$9,IF(LARGE(H$7:H$10,2)=H$10,D$10)))))),IF(COUNTIF(H$7:H$10,2)=2,"empate entre 1º e 2º",IF(COUNTIF(H$7:H$10,2)=3,"empate entre 1º, 2º e 3º",IF(COUNTIF(H$7:H$10,1)=3,"empate entre 2º, 3º e 4º",IF(LARGE(H$7:H$10,2)=H$7,D$7,IF(LARGE(H$7:H$10,2)=H$8,D$8,IF(LARGE(H$7:H$10,2)=H$9,D$9,IF(LARGE(H$7:H$10,2)=H$10,D$10))))))))))</f>
        <v/>
      </c>
      <c r="E13" s="433"/>
      <c r="F13" s="433"/>
      <c r="G13" s="433"/>
      <c r="H13" s="433"/>
      <c r="I13" s="14"/>
      <c r="J13" s="13" t="s">
        <v>13</v>
      </c>
      <c r="K13" s="433" t="str">
        <f>IF(COUNTIF(O$7:O$10,"")&gt;2,"",IF(COUNTIF(O$7:O$10,"")=2,(IF(LARGE(O$7:O$10,2)=O$7,K$7,IF(LARGE(O$7:O$10,2)=O$8,K$8,IF(LARGE(O$7:O$10,2)=O$9,K$9,IF(LARGE(O$7:O$10,2)=O$10,K$10))))),IF(COUNTIF(O$7:O$10,"")=1,(IF(AND(LARGE(O$7:O$10,1)=LARGE(O$7:O$10,2),LARGE(O$7:O$10,2)=LARGE(O$7:O$10,3)),"empate entre 1º, 2º e 3º",IF(LARGE(O$7:O$10,2)=O$7,K$7,IF(LARGE(O$7:O$10,2)=O$8,K$8,IF(LARGE(O$7:O$10,2)=O$9,K$9,IF(LARGE(O$7:O$10,2)=O$10,K$10)))))),IF(COUNTIF(O$7:O$10,2)=2,"empate entre 1º e 2º",IF(COUNTIF(O$7:O$10,2)=3,"empate entre 1º, 2º e 3º",IF(COUNTIF(O$7:O$10,1)=3,"empate entre 2º, 3º e 4º",IF(LARGE(O$7:O$10,2)=O$7,K$7,IF(LARGE(O$7:O$10,2)=O$8,K$8,IF(LARGE(O$7:O$10,2)=O$9,K$9,IF(LARGE(O$7:O$10,2)=O$10,K$10))))))))))</f>
        <v/>
      </c>
      <c r="L13" s="433"/>
      <c r="M13" s="433"/>
      <c r="N13" s="433"/>
      <c r="O13" s="433"/>
      <c r="P13" s="14"/>
      <c r="Q13" s="13" t="s">
        <v>13</v>
      </c>
      <c r="R13" s="433" t="str">
        <f>IF(COUNTIF(V$7:V$10,"")&gt;2,"",IF(COUNTIF(V$7:V$10,"")=2,(IF(LARGE(V$7:V$10,2)=V$7,R$7,IF(LARGE(V$7:V$10,2)=V$8,R$8,IF(LARGE(V$7:V$10,2)=V$9,R$9,IF(LARGE(V$7:V$10,2)=V$10,R$10))))),IF(COUNTIF(V$7:V$10,"")=1,(IF(AND(LARGE(V$7:V$10,1)=LARGE(V$7:V$10,2),LARGE(V$7:V$10,2)=LARGE(V$7:V$10,3)),"empate entre 1º, 2º e 3º",IF(LARGE(V$7:V$10,2)=V$7,R$7,IF(LARGE(V$7:V$10,2)=V$8,R$8,IF(LARGE(V$7:V$10,2)=V$9,R$9,IF(LARGE(V$7:V$10,2)=V$10,R$10)))))),IF(COUNTIF(V$7:V$10,2)=2,"empate entre 1º e 2º",IF(COUNTIF(V$7:V$10,2)=3,"empate entre 1º, 2º e 3º",IF(COUNTIF(V$7:V$10,1)=3,"empate entre 2º, 3º e 4º",IF(LARGE(V$7:V$10,2)=V$7,R$7,IF(LARGE(V$7:V$10,2)=V$8,R$8,IF(LARGE(V$7:V$10,2)=V$9,R$9,IF(LARGE(V$7:V$10,2)=V$10,R$10))))))))))</f>
        <v/>
      </c>
      <c r="S13" s="433"/>
      <c r="T13" s="433"/>
      <c r="U13" s="433"/>
      <c r="V13" s="433"/>
      <c r="W13" s="14"/>
      <c r="X13" s="13" t="s">
        <v>13</v>
      </c>
      <c r="Y13" s="433" t="str">
        <f>IF(COUNTIF(AC$7:AC$10,"")&gt;2,"",IF(COUNTIF(AC$7:AC$10,"")=2,(IF(LARGE(AC$7:AC$10,2)=AC$7,Y$7,IF(LARGE(AC$7:AC$10,2)=AC$8,Y$8,IF(LARGE(AC$7:AC$10,2)=AC$9,Y$9,IF(LARGE(AC$7:AC$10,2)=AC$10,Y$10))))),IF(COUNTIF(AC$7:AC$10,"")=1,(IF(AND(LARGE(AC$7:AC$10,1)=LARGE(AC$7:AC$10,2),LARGE(AC$7:AC$10,2)=LARGE(AC$7:AC$10,3)),"empate entre 1º, 2º e 3º",IF(LARGE(AC$7:AC$10,2)=AC$7,Y$7,IF(LARGE(AC$7:AC$10,2)=AC$8,Y$8,IF(LARGE(AC$7:AC$10,2)=AC$9,Y$9,IF(LARGE(AC$7:AC$10,2)=AC$10,Y$10)))))),IF(COUNTIF(AC$7:AC$10,2)=2,"empate entre 1º e 2º",IF(COUNTIF(AC$7:AC$10,2)=3,"empate entre 1º, 2º e 3º",IF(COUNTIF(AC$7:AC$10,1)=3,"empate entre 2º, 3º e 4º",IF(LARGE(AC$7:AC$10,2)=AC$7,Y$7,IF(LARGE(AC$7:AC$10,2)=AC$8,Y$8,IF(LARGE(AC$7:AC$10,2)=AC$9,Y$9,IF(LARGE(AC$7:AC$10,2)=AC$10,Y$10))))))))))</f>
        <v/>
      </c>
      <c r="Z13" s="433"/>
      <c r="AA13" s="433"/>
      <c r="AB13" s="433"/>
      <c r="AC13" s="433"/>
      <c r="AD13" s="14"/>
      <c r="AE13" s="113"/>
      <c r="AG13" s="109">
        <f>$J$18</f>
        <v>4</v>
      </c>
      <c r="AH13" s="161"/>
      <c r="AI13" s="109">
        <f>$J$26</f>
        <v>20</v>
      </c>
      <c r="AJ13" s="161"/>
      <c r="AK13" s="109">
        <f>$V$56</f>
        <v>35</v>
      </c>
      <c r="AL13" s="161"/>
      <c r="AN13" s="189">
        <f>IF($C22="","",$C22)</f>
        <v>10</v>
      </c>
      <c r="AO13" s="172" t="str">
        <f t="shared" si="1"/>
        <v>Grupo A</v>
      </c>
      <c r="AP13" s="364" t="str">
        <f>IF($D$22="","",$D$22)</f>
        <v>Joana Eduardo (DSRLisboa)</v>
      </c>
      <c r="AQ13" s="365" t="str">
        <f t="shared" si="0"/>
        <v>Grupo A</v>
      </c>
      <c r="AR13" s="365" t="str">
        <f t="shared" si="0"/>
        <v>Grupo A</v>
      </c>
      <c r="AS13" s="366" t="str">
        <f t="shared" si="0"/>
        <v>Grupo A</v>
      </c>
      <c r="AT13" s="190" t="str">
        <f>IF(COUNT($F$22:$F$23)&lt;2,"",IF($F$22&gt;$F$23,"V",IF($F$22&lt;$F$23,"D","Empate??")))</f>
        <v/>
      </c>
      <c r="AU13" s="191" t="str">
        <f>IF(COUNT($F$22:$F$23)&lt;2,"",$F$22)</f>
        <v/>
      </c>
      <c r="AV13" s="192" t="str">
        <f>IF(COUNT($F$22:$F$23)&lt;2,"",$F$23)</f>
        <v/>
      </c>
      <c r="AW13" s="193" t="str">
        <f t="shared" si="3"/>
        <v/>
      </c>
      <c r="AX13" s="192" t="str">
        <f>IF(COUNT($F$22:$F$23)&lt;2,"",SUM($G$22:$I$22))</f>
        <v/>
      </c>
      <c r="AY13" s="194" t="str">
        <f>IF(COUNT($F$22:$F$23)&lt;2,"",SUM($G$23:$I$23))</f>
        <v/>
      </c>
      <c r="AZ13" s="195" t="str">
        <f t="shared" si="2"/>
        <v/>
      </c>
    </row>
    <row r="14" spans="2:72" ht="15" customHeight="1" thickBot="1">
      <c r="B14" s="126"/>
      <c r="C14" s="6" t="s">
        <v>14</v>
      </c>
      <c r="D14" s="434" t="str">
        <f>IF(COUNTIF(H$7:H$10,"")&gt;=2,"",IF(COUNTIF(H$7:H$10,"")=1,(IF(LARGE(H$7:H$10,3)=1,"empate entre 1º, 2º e 3º",IF(LARGE(H$7:H$10,3)=H$7,D$7,IF(LARGE(H$7:H$10,3)=H$8,D$8,IF(LARGE(H$7:H$10,3)=H$9,D$9,IF(LARGE(H$7:H$10,3)=H$10,D$10)))))),IF(COUNTIF(H$7:H$10,2)=3,"empate entre 1º, 2º e 3º",IF(COUNTIF(H$7:H$10,1)=3,"empate entre 2º, 3º e 4º",IF(COUNTIF(H$7:H$10,1)=2,"empate entre 3º e 4º",IF(LARGE(H$7:H$10,3)=H$7,D$7,IF(LARGE(H$7:H$10,3)=H$8,D$8,IF(LARGE(H$7:H$10,3)=H$9,D$9,IF(LARGE(H$7:H$10,3)=H$10,D$10)))))))))</f>
        <v/>
      </c>
      <c r="E14" s="434"/>
      <c r="F14" s="434"/>
      <c r="G14" s="434"/>
      <c r="H14" s="434"/>
      <c r="I14" s="12"/>
      <c r="J14" s="15" t="s">
        <v>14</v>
      </c>
      <c r="K14" s="434" t="str">
        <f>IF(COUNTIF(O$7:O$10,"")&gt;=2,"",IF(COUNTIF(O$7:O$10,"")=1,(IF(LARGE(O$7:O$10,3)=1,"empate entre 1º, 2º e 3º",IF(LARGE(O$7:O$10,3)=O$7,K$7,IF(LARGE(O$7:O$10,3)=O$8,K$8,IF(LARGE(O$7:O$10,3)=O$9,K$9,IF(LARGE(O$7:O$10,3)=O$10,K$10)))))),IF(COUNTIF(O$7:O$10,2)=3,"empate entre 1º, 2º e 3º",IF(COUNTIF(O$7:O$10,1)=3,"empate entre 2º, 3º e 4º",IF(COUNTIF(O$7:O$10,1)=2,"empate entre 3º e 4º",IF(LARGE(O$7:O$10,3)=O$7,K$7,IF(LARGE(O$7:O$10,3)=O$8,K$8,IF(LARGE(O$7:O$10,3)=O$9,K$9,IF(LARGE(O$7:O$10,3)=O$10,K$10)))))))))</f>
        <v/>
      </c>
      <c r="L14" s="434"/>
      <c r="M14" s="434"/>
      <c r="N14" s="434"/>
      <c r="O14" s="434"/>
      <c r="P14" s="16"/>
      <c r="Q14" s="6" t="s">
        <v>14</v>
      </c>
      <c r="R14" s="434" t="str">
        <f>IF(COUNTIF(V$7:V$10,"")&gt;=2,"",IF(COUNTIF(V$7:V$10,"")=1,(IF(LARGE(V$7:V$10,3)=1,"empate entre 1º, 2º e 3º",IF(LARGE(V$7:V$10,3)=V$7,R$7,IF(LARGE(V$7:V$10,3)=V$8,R$8,IF(LARGE(V$7:V$10,3)=V$9,R$9,IF(LARGE(V$7:V$10,3)=V$10,R$10)))))),IF(COUNTIF(V$7:V$10,2)=3,"empate entre 1º, 2º e 3º",IF(COUNTIF(V$7:V$10,1)=3,"empate entre 2º, 3º e 4º",IF(COUNTIF(V$7:V$10,1)=2,"empate entre 3º e 4º",IF(LARGE(V$7:V$10,3)=V$7,R$7,IF(LARGE(V$7:V$10,3)=V$8,R$8,IF(LARGE(V$7:V$10,3)=V$9,R$9,IF(LARGE(V$7:V$10,3)=V$10,R$10)))))))))</f>
        <v/>
      </c>
      <c r="S14" s="434"/>
      <c r="T14" s="434"/>
      <c r="U14" s="434"/>
      <c r="V14" s="434"/>
      <c r="W14" s="12"/>
      <c r="X14" s="6" t="s">
        <v>14</v>
      </c>
      <c r="Y14" s="434" t="str">
        <f>IF(COUNTIF(AC$7:AC$10,"")&gt;=2,"",IF(COUNTIF(AC$7:AC$10,"")=1,(IF(LARGE(AC$7:AC$10,3)=1,"empate entre 1º, 2º e 3º",IF(LARGE(AC$7:AC$10,3)=AC$7,Y$7,IF(LARGE(AC$7:AC$10,3)=AC$8,Y$8,IF(LARGE(AC$7:AC$10,3)=AC$9,Y$9,IF(LARGE(AC$7:AC$10,3)=AC$10,Y$10)))))),IF(COUNTIF(AC$7:AC$10,2)=3,"empate entre 1º, 2º e 3º",IF(COUNTIF(AC$7:AC$10,1)=3,"empate entre 2º, 3º e 4º",IF(COUNTIF(AC$7:AC$10,1)=2,"empate entre 3º e 4º",IF(LARGE(AC$7:AC$10,3)=AC$7,Y$7,IF(LARGE(AC$7:AC$10,3)=AC$8,Y$8,IF(LARGE(AC$7:AC$10,3)=AC$9,Y$9,IF(LARGE(AC$7:AC$10,3)=AC$10,Y$10)))))))))</f>
        <v/>
      </c>
      <c r="Z14" s="434"/>
      <c r="AA14" s="434"/>
      <c r="AB14" s="434"/>
      <c r="AC14" s="434"/>
      <c r="AD14" s="12"/>
      <c r="AE14" s="113"/>
      <c r="AG14" s="109">
        <f>$Q$16</f>
        <v>5</v>
      </c>
      <c r="AH14" s="161"/>
      <c r="AI14" s="109">
        <f>$Q$24</f>
        <v>21</v>
      </c>
      <c r="AJ14" s="161"/>
      <c r="AK14" s="130">
        <f>$W$56</f>
        <v>36</v>
      </c>
      <c r="AL14" s="163"/>
      <c r="AN14" s="182">
        <f>IF($C22="","",$C22)</f>
        <v>10</v>
      </c>
      <c r="AO14" s="171" t="str">
        <f t="shared" si="1"/>
        <v>Grupo A</v>
      </c>
      <c r="AP14" s="367" t="str">
        <f>IF($D$23="","",$D$23)</f>
        <v>Aida Nunes (DSRNorte)</v>
      </c>
      <c r="AQ14" s="368" t="str">
        <f t="shared" si="0"/>
        <v>Grupo A</v>
      </c>
      <c r="AR14" s="368" t="str">
        <f t="shared" si="0"/>
        <v>Grupo A</v>
      </c>
      <c r="AS14" s="369" t="str">
        <f t="shared" si="0"/>
        <v>Grupo A</v>
      </c>
      <c r="AT14" s="183" t="str">
        <f>IF(COUNT($F$22:$F$23)&lt;2,"",IF($F$22&lt;$F$23,"V",IF($F$22&gt;$F$23,"D","Empate??")))</f>
        <v/>
      </c>
      <c r="AU14" s="184" t="str">
        <f>IF(COUNT($F$22:$F$23)&lt;2,"",$F$23)</f>
        <v/>
      </c>
      <c r="AV14" s="185" t="str">
        <f>IF(COUNT($F$22:$F$23)&lt;2,"",$F$22)</f>
        <v/>
      </c>
      <c r="AW14" s="186" t="str">
        <f t="shared" si="3"/>
        <v/>
      </c>
      <c r="AX14" s="185" t="str">
        <f>IF(COUNT($F$22:$F$23)&lt;2,"",SUM($G$23:$I$23))</f>
        <v/>
      </c>
      <c r="AY14" s="187" t="str">
        <f>IF(COUNT($F$22:$F$23)&lt;2,"",SUM($G$22:$I$22))</f>
        <v/>
      </c>
      <c r="AZ14" s="188" t="str">
        <f t="shared" si="2"/>
        <v/>
      </c>
    </row>
    <row r="15" spans="2:72" ht="19.5" customHeight="1" thickBot="1">
      <c r="B15" s="126"/>
      <c r="C15" s="17" t="s">
        <v>15</v>
      </c>
      <c r="D15" s="430" t="str">
        <f>IF(COUNTIF(H$7:H$10,"")&gt;=1,"",IF(COUNTIF(H$7:H$10,1)=3,"empate entre 2º, 3º e 4º",IF(COUNTIF(H$7:H$10,1)=2,"empate entre 3º e 4º",IF(LARGE(H$7:H$10,4)=H$7,D$7,IF(LARGE(H$7:H$10,4)=H$8,D$8,IF(LARGE(H$7:H$10,4)=H$9,D$9,IF(LARGE(H$7:H$10,4)=H$10,D$10)))))))</f>
        <v/>
      </c>
      <c r="E15" s="430"/>
      <c r="F15" s="430"/>
      <c r="G15" s="430"/>
      <c r="H15" s="430"/>
      <c r="I15" s="18"/>
      <c r="J15" s="19" t="s">
        <v>15</v>
      </c>
      <c r="K15" s="430" t="str">
        <f>IF(COUNTIF(O$7:O$10,"")&gt;=1,"",IF(COUNTIF(O$7:O$10,1)=3,"empate entre 2º, 3º e 4º",IF(COUNTIF(O$7:O$10,1)=2,"empate entre 3º e 4º",IF(LARGE(O$7:O$10,4)=O$7,K$7,IF(LARGE(O$7:O$10,4)=O$8,K$8,IF(LARGE(O$7:O$10,4)=O$9,K$9,IF(LARGE(O$7:O$10,4)=O$10,K$10)))))))</f>
        <v/>
      </c>
      <c r="L15" s="430"/>
      <c r="M15" s="430"/>
      <c r="N15" s="430"/>
      <c r="O15" s="430"/>
      <c r="P15" s="20"/>
      <c r="Q15" s="17" t="s">
        <v>15</v>
      </c>
      <c r="R15" s="430" t="str">
        <f>IF(COUNTIF(V$7:V$10,"")&gt;=1,"",IF(COUNTIF(V$7:V$10,1)=3,"empate entre 2º, 3º e 4º",IF(COUNTIF(V$7:V$10,1)=2,"empate entre 3º e 4º",IF(LARGE(V$7:V$10,4)=V$7,R$7,IF(LARGE(V$7:V$10,4)=V$8,R$8,IF(LARGE(V$7:V$10,4)=V$9,R$9,IF(LARGE(V$7:V$10,4)=V$10,R$10)))))))</f>
        <v/>
      </c>
      <c r="S15" s="430"/>
      <c r="T15" s="430"/>
      <c r="U15" s="430"/>
      <c r="V15" s="430"/>
      <c r="W15" s="18"/>
      <c r="X15" s="17" t="s">
        <v>15</v>
      </c>
      <c r="Y15" s="430" t="str">
        <f>IF(COUNTIF(AC$7:AC$10,"")&gt;=1,"",IF(COUNTIF(AC$7:AC$10,1)=3,"empate entre 2º, 3º e 4º",IF(COUNTIF(AC$7:AC$10,1)=2,"empate entre 3º e 4º",IF(LARGE(AC$7:AC$10,4)=AC$7,Y$7,IF(LARGE(AC$7:AC$10,4)=AC$8,Y$8,IF(LARGE(AC$7:AC$10,4)=AC$9,Y$9,IF(LARGE(AC$7:AC$10,4)=AC$10,Y$10)))))))</f>
        <v/>
      </c>
      <c r="Z15" s="430"/>
      <c r="AA15" s="430"/>
      <c r="AB15" s="430"/>
      <c r="AC15" s="430"/>
      <c r="AD15" s="18"/>
      <c r="AE15" s="113"/>
      <c r="AG15" s="109">
        <f>$Q$18</f>
        <v>6</v>
      </c>
      <c r="AH15" s="161"/>
      <c r="AI15" s="109">
        <f>$Q$26</f>
        <v>22</v>
      </c>
      <c r="AJ15" s="161"/>
      <c r="AK15" s="431" t="s">
        <v>230</v>
      </c>
      <c r="AL15" s="432"/>
      <c r="AN15" s="189">
        <f>IF($C24="","",$C24)</f>
        <v>17</v>
      </c>
      <c r="AO15" s="172" t="str">
        <f t="shared" si="1"/>
        <v>Grupo A</v>
      </c>
      <c r="AP15" s="364" t="str">
        <f>IF($D$24="","",$D$24)</f>
        <v>Aida Nunes (DSRNorte)</v>
      </c>
      <c r="AQ15" s="365" t="str">
        <f t="shared" si="0"/>
        <v>Grupo A</v>
      </c>
      <c r="AR15" s="365" t="str">
        <f t="shared" si="0"/>
        <v>Grupo A</v>
      </c>
      <c r="AS15" s="366" t="str">
        <f t="shared" si="0"/>
        <v>Grupo A</v>
      </c>
      <c r="AT15" s="190" t="str">
        <f>IF(COUNT($F$24:$F$25)&lt;2,"",IF($F$24&gt;$F$25,"V",IF($F$24&lt;$F$25,"D","Empate??")))</f>
        <v/>
      </c>
      <c r="AU15" s="191" t="str">
        <f>IF(COUNT($F$24:$F$25)&lt;2,"",$F$24)</f>
        <v/>
      </c>
      <c r="AV15" s="192" t="str">
        <f>IF(COUNT($F$24:$F$25)&lt;2,"",$F$25)</f>
        <v/>
      </c>
      <c r="AW15" s="193" t="str">
        <f t="shared" si="3"/>
        <v/>
      </c>
      <c r="AX15" s="192" t="str">
        <f>IF(COUNT($F$24:$F$25)&lt;2,"",SUM($G$24:$I$24))</f>
        <v/>
      </c>
      <c r="AY15" s="194" t="str">
        <f>IF(COUNT($F$24:$F$25)&lt;2,"",SUM($G$25:$I$25))</f>
        <v/>
      </c>
      <c r="AZ15" s="195" t="str">
        <f t="shared" si="2"/>
        <v/>
      </c>
    </row>
    <row r="16" spans="2:72" ht="15" customHeight="1">
      <c r="B16" s="126"/>
      <c r="C16" s="428">
        <v>1</v>
      </c>
      <c r="D16" s="425" t="str">
        <f>IF(D7="","",D7)</f>
        <v>Joana Eduardo (DSRLisboa)</v>
      </c>
      <c r="E16" s="425"/>
      <c r="F16" s="21" t="str">
        <f>IF(COUNT(G16:I16)&lt;1,"",IF(SUM(IF(G16&gt;G17,1,0),IF(H16&gt;H17,1,0),IF(I16&gt;I17,1,0))&gt;2,"??",SUM(IF(G16&gt;G17,1,0),IF(H16&gt;H17,1,0),IF(I16&gt;I17,1,0))))</f>
        <v/>
      </c>
      <c r="G16" s="138"/>
      <c r="H16" s="139"/>
      <c r="I16" s="140"/>
      <c r="J16" s="423">
        <v>3</v>
      </c>
      <c r="K16" s="425" t="str">
        <f>IF(K7="","",K7)</f>
        <v>Patrícia Silva (DSRAlentejo)</v>
      </c>
      <c r="L16" s="425"/>
      <c r="M16" s="21" t="str">
        <f>IF(COUNT(N16:P16)&lt;1,"",IF(SUM(IF(N16&gt;N17,1,0),IF(O16&gt;O17,1,0),IF(P16&gt;P17,1,0))&gt;2,"??",SUM(IF(N16&gt;N17,1,0),IF(O16&gt;O17,1,0),IF(P16&gt;P17,1,0))))</f>
        <v/>
      </c>
      <c r="N16" s="138"/>
      <c r="O16" s="139"/>
      <c r="P16" s="140"/>
      <c r="Q16" s="423">
        <v>5</v>
      </c>
      <c r="R16" s="425" t="str">
        <f>IF(R7="","",R7)</f>
        <v>Nara Silva (DSRAlgarve)</v>
      </c>
      <c r="S16" s="425"/>
      <c r="T16" s="21" t="str">
        <f>IF(COUNT(U16:W16)&lt;1,"",IF(SUM(IF(U16&gt;U17,1,0),IF(V16&gt;V17,1,0),IF(W16&gt;W17,1,0))&gt;2,"??",SUM(IF(U16&gt;U17,1,0),IF(V16&gt;V17,1,0),IF(W16&gt;W17,1,0))))</f>
        <v/>
      </c>
      <c r="U16" s="138"/>
      <c r="V16" s="139"/>
      <c r="W16" s="140"/>
      <c r="X16" s="423">
        <v>7</v>
      </c>
      <c r="Y16" s="425" t="str">
        <f>IF(Y7="","",Y7)</f>
        <v>Alexandra Alves (DSRCentro)</v>
      </c>
      <c r="Z16" s="425"/>
      <c r="AA16" s="21" t="str">
        <f>IF(COUNT(AB16:AD16)&lt;1,"",IF(SUM(IF(AB16&gt;AB17,1,0),IF(AC16&gt;AC17,1,0),IF(AD16&gt;AD17,1,0))&gt;2,"??",SUM(IF(AB16&gt;AB17,1,0),IF(AC16&gt;AC17,1,0),IF(AD16&gt;AD17,1,0))))</f>
        <v/>
      </c>
      <c r="AB16" s="138"/>
      <c r="AC16" s="139"/>
      <c r="AD16" s="140"/>
      <c r="AE16" s="426" t="s">
        <v>44</v>
      </c>
      <c r="AG16" s="109">
        <f>$X$16</f>
        <v>7</v>
      </c>
      <c r="AH16" s="161"/>
      <c r="AI16" s="109">
        <f>$X$24</f>
        <v>23</v>
      </c>
      <c r="AJ16" s="161"/>
      <c r="AK16" s="159">
        <f>$O$70</f>
        <v>37</v>
      </c>
      <c r="AL16" s="160"/>
      <c r="AN16" s="182">
        <f>IF($C24="","",$C24)</f>
        <v>17</v>
      </c>
      <c r="AO16" s="171" t="str">
        <f t="shared" si="1"/>
        <v>Grupo A</v>
      </c>
      <c r="AP16" s="367" t="str">
        <f>IF($D$25="","",$D$25)</f>
        <v/>
      </c>
      <c r="AQ16" s="368" t="str">
        <f t="shared" si="0"/>
        <v>Grupo A</v>
      </c>
      <c r="AR16" s="368" t="str">
        <f t="shared" si="0"/>
        <v>Grupo A</v>
      </c>
      <c r="AS16" s="369" t="str">
        <f t="shared" si="0"/>
        <v>Grupo A</v>
      </c>
      <c r="AT16" s="183" t="str">
        <f>IF(COUNT($F$24:$F$25)&lt;2,"",IF($F$24&lt;$F$25,"V",IF($F$24&gt;$F$25,"D","Empate??")))</f>
        <v/>
      </c>
      <c r="AU16" s="184" t="str">
        <f>IF(COUNT($F$24:$F$25)&lt;2,"",$F$25)</f>
        <v/>
      </c>
      <c r="AV16" s="185" t="str">
        <f>IF(COUNT($F$24:$F$25)&lt;2,"",$F$24)</f>
        <v/>
      </c>
      <c r="AW16" s="186" t="str">
        <f t="shared" si="3"/>
        <v/>
      </c>
      <c r="AX16" s="185" t="str">
        <f>IF(COUNT($F$24:$F$25)&lt;2,"",SUM($G$25:$I$25))</f>
        <v/>
      </c>
      <c r="AY16" s="187" t="str">
        <f>IF(COUNT($F$24:$F$25)&lt;2,"",SUM($G$24:$I$24))</f>
        <v/>
      </c>
      <c r="AZ16" s="188" t="str">
        <f t="shared" si="2"/>
        <v/>
      </c>
    </row>
    <row r="17" spans="2:52" ht="15" customHeight="1">
      <c r="B17" s="126"/>
      <c r="C17" s="429"/>
      <c r="D17" s="398" t="str">
        <f>IF(D10="","",D10)</f>
        <v/>
      </c>
      <c r="E17" s="398"/>
      <c r="F17" s="22" t="str">
        <f>IF(COUNT(G17:I17)&lt;1,"",IF(SUM(IF(G17&gt;G16,1,0),IF(H17&gt;H16,1,0),IF(I17&gt;I16,1,0))&gt;2,"??",SUM(IF(G17&gt;G16,1,0),IF(H17&gt;H16,1,0),IF(I17&gt;I16,1,0))))</f>
        <v/>
      </c>
      <c r="G17" s="141"/>
      <c r="H17" s="142"/>
      <c r="I17" s="143"/>
      <c r="J17" s="424"/>
      <c r="K17" s="398" t="str">
        <f>IF(K10="","",K10)</f>
        <v/>
      </c>
      <c r="L17" s="398"/>
      <c r="M17" s="22" t="str">
        <f>IF(COUNT(N17:P17)&lt;1,"",IF(SUM(IF(N17&gt;N16,1,0),IF(O17&gt;O16,1,0),IF(P17&gt;P16,1,0))&gt;2,"??",SUM(IF(N17&gt;N16,1,0),IF(O17&gt;O16,1,0),IF(P17&gt;P16,1,0))))</f>
        <v/>
      </c>
      <c r="N17" s="141"/>
      <c r="O17" s="142"/>
      <c r="P17" s="143"/>
      <c r="Q17" s="424"/>
      <c r="R17" s="398" t="str">
        <f>IF(R10="","",R10)</f>
        <v/>
      </c>
      <c r="S17" s="398"/>
      <c r="T17" s="22" t="str">
        <f>IF(COUNT(U17:W17)&lt;1,"",IF(SUM(IF(U17&gt;U16,1,0),IF(V17&gt;V16,1,0),IF(W17&gt;W16,1,0))&gt;2,"??",SUM(IF(U17&gt;U16,1,0),IF(V17&gt;V16,1,0),IF(W17&gt;W16,1,0))))</f>
        <v/>
      </c>
      <c r="U17" s="141"/>
      <c r="V17" s="142"/>
      <c r="W17" s="143"/>
      <c r="X17" s="424"/>
      <c r="Y17" s="398" t="str">
        <f>IF(Y10="","",Y10)</f>
        <v/>
      </c>
      <c r="Z17" s="398"/>
      <c r="AA17" s="22" t="str">
        <f>IF(COUNT(AB17:AD17)&lt;1,"",IF(SUM(IF(AB17&gt;AB16,1,0),IF(AC17&gt;AC16,1,0),IF(AD17&gt;AD16,1,0))&gt;2,"??",SUM(IF(AB17&gt;AB16,1,0),IF(AC17&gt;AC16,1,0),IF(AD17&gt;AD16,1,0))))</f>
        <v/>
      </c>
      <c r="AB17" s="141"/>
      <c r="AC17" s="142"/>
      <c r="AD17" s="143"/>
      <c r="AE17" s="396"/>
      <c r="AG17" s="109">
        <f>$X$18</f>
        <v>8</v>
      </c>
      <c r="AH17" s="161"/>
      <c r="AI17" s="109">
        <f>$X$26</f>
        <v>24</v>
      </c>
      <c r="AJ17" s="161"/>
      <c r="AK17" s="109">
        <f>$O$78</f>
        <v>38</v>
      </c>
      <c r="AL17" s="161"/>
      <c r="AN17" s="189">
        <f>IF($C26="","",$C26)</f>
        <v>18</v>
      </c>
      <c r="AO17" s="172" t="str">
        <f t="shared" si="1"/>
        <v>Grupo A</v>
      </c>
      <c r="AP17" s="364" t="str">
        <f>IF($D$26="","",$D$26)</f>
        <v/>
      </c>
      <c r="AQ17" s="365" t="str">
        <f t="shared" si="0"/>
        <v>Grupo A</v>
      </c>
      <c r="AR17" s="365" t="str">
        <f t="shared" si="0"/>
        <v>Grupo A</v>
      </c>
      <c r="AS17" s="366" t="str">
        <f t="shared" si="0"/>
        <v>Grupo A</v>
      </c>
      <c r="AT17" s="190" t="str">
        <f>IF(COUNT($F$26:$F$27)&lt;2,"",IF($F$26&gt;$F$27,"V",IF($F$26&lt;$F$27,"D","Empate??")))</f>
        <v/>
      </c>
      <c r="AU17" s="191" t="str">
        <f>IF(COUNT($F$26:$F$27)&lt;2,"",$F$26)</f>
        <v/>
      </c>
      <c r="AV17" s="192" t="str">
        <f>IF(COUNT($F$26:$F$27)&lt;2,"",$F$27)</f>
        <v/>
      </c>
      <c r="AW17" s="193" t="str">
        <f t="shared" si="3"/>
        <v/>
      </c>
      <c r="AX17" s="192" t="str">
        <f>IF(COUNT($F$26:$F$27)&lt;2,"",SUM($G$26:$I$26))</f>
        <v/>
      </c>
      <c r="AY17" s="194" t="str">
        <f>IF(COUNT($F$26:$F$27)&lt;2,"",SUM($G$27:$I$27))</f>
        <v/>
      </c>
      <c r="AZ17" s="195" t="str">
        <f t="shared" si="2"/>
        <v/>
      </c>
    </row>
    <row r="18" spans="2:52" ht="15" customHeight="1" thickBot="1">
      <c r="B18" s="126"/>
      <c r="C18" s="373">
        <v>2</v>
      </c>
      <c r="D18" s="375" t="str">
        <f>IF(D8="","",D8)</f>
        <v>Aida Nunes (DSRNorte)</v>
      </c>
      <c r="E18" s="375"/>
      <c r="F18" s="23" t="str">
        <f>IF(COUNT(G18:I18)&lt;1,"",IF(SUM(IF(G18&gt;G19,1,0),IF(H18&gt;H19,1,0),IF(I18&gt;I19,1,0))&gt;2,"??",SUM(IF(G18&gt;G19,1,0),IF(H18&gt;H19,1,0),IF(I18&gt;I19,1,0))))</f>
        <v/>
      </c>
      <c r="G18" s="144"/>
      <c r="H18" s="145"/>
      <c r="I18" s="146"/>
      <c r="J18" s="373">
        <v>4</v>
      </c>
      <c r="K18" s="375" t="str">
        <f>IF(K8="","",K8)</f>
        <v>Gisela Mouteira (DSRNorte)</v>
      </c>
      <c r="L18" s="375"/>
      <c r="M18" s="23" t="str">
        <f>IF(COUNT(N18:P18)&lt;1,"",IF(SUM(IF(N18&gt;N19,1,0),IF(O18&gt;O19,1,0),IF(P18&gt;P19,1,0))&gt;2,"??",SUM(IF(N18&gt;N19,1,0),IF(O18&gt;O19,1,0),IF(P18&gt;P19,1,0))))</f>
        <v/>
      </c>
      <c r="N18" s="144"/>
      <c r="O18" s="145"/>
      <c r="P18" s="146"/>
      <c r="Q18" s="373">
        <v>6</v>
      </c>
      <c r="R18" s="375" t="str">
        <f>IF(R8="","",R8)</f>
        <v>Mariana Eiras (DSRNorte)</v>
      </c>
      <c r="S18" s="375"/>
      <c r="T18" s="23" t="str">
        <f>IF(COUNT(U18:W18)&lt;1,"",IF(SUM(IF(U18&gt;U19,1,0),IF(V18&gt;V19,1,0),IF(W18&gt;W19,1,0))&gt;2,"??",SUM(IF(U18&gt;U19,1,0),IF(V18&gt;V19,1,0),IF(W18&gt;W19,1,0))))</f>
        <v/>
      </c>
      <c r="U18" s="144"/>
      <c r="V18" s="145"/>
      <c r="W18" s="146"/>
      <c r="X18" s="373">
        <v>8</v>
      </c>
      <c r="Y18" s="375" t="str">
        <f>IF(Y8="","",Y8)</f>
        <v>Mariana Afonso (DSRLisboa)</v>
      </c>
      <c r="Z18" s="375"/>
      <c r="AA18" s="23" t="str">
        <f>IF(COUNT(AB18:AD18)&lt;1,"",IF(SUM(IF(AB18&gt;AB19,1,0),IF(AC18&gt;AC19,1,0),IF(AD18&gt;AD19,1,0))&gt;2,"??",SUM(IF(AB18&gt;AB19,1,0),IF(AC18&gt;AC19,1,0),IF(AD18&gt;AD19,1,0))))</f>
        <v/>
      </c>
      <c r="AB18" s="144"/>
      <c r="AC18" s="145"/>
      <c r="AD18" s="146"/>
      <c r="AE18" s="396"/>
      <c r="AG18" s="131">
        <f>$C$20</f>
        <v>9</v>
      </c>
      <c r="AH18" s="162"/>
      <c r="AI18" s="131">
        <f>$H$31</f>
        <v>25</v>
      </c>
      <c r="AJ18" s="162"/>
      <c r="AK18" s="109">
        <f>$V$74</f>
        <v>39</v>
      </c>
      <c r="AL18" s="161"/>
      <c r="AN18" s="196">
        <f>IF($C26="","",$C26)</f>
        <v>18</v>
      </c>
      <c r="AO18" s="175" t="str">
        <f t="shared" si="1"/>
        <v>Grupo A</v>
      </c>
      <c r="AP18" s="358" t="str">
        <f>IF($D$27="","",$D$27)</f>
        <v>Joana Eduardo (DSRLisboa)</v>
      </c>
      <c r="AQ18" s="359" t="str">
        <f t="shared" si="0"/>
        <v>Grupo A</v>
      </c>
      <c r="AR18" s="359" t="str">
        <f t="shared" si="0"/>
        <v>Grupo A</v>
      </c>
      <c r="AS18" s="360" t="str">
        <f t="shared" si="0"/>
        <v>Grupo A</v>
      </c>
      <c r="AT18" s="176" t="str">
        <f>IF(COUNT($F$26:$F$27)&lt;2,"",IF($F$26&lt;$F$27,"V",IF($F$26&gt;$F$27,"D","Empate??")))</f>
        <v/>
      </c>
      <c r="AU18" s="177" t="str">
        <f>IF(COUNT($F$26:$F$27)&lt;2,"",$F$27)</f>
        <v/>
      </c>
      <c r="AV18" s="178" t="str">
        <f>IF(COUNT($F$26:$F$27)&lt;2,"",$F$26)</f>
        <v/>
      </c>
      <c r="AW18" s="179" t="str">
        <f t="shared" si="3"/>
        <v/>
      </c>
      <c r="AX18" s="178" t="str">
        <f>IF(COUNT($F$26:$F$27)&lt;2,"",SUM($G$27:$I$27))</f>
        <v/>
      </c>
      <c r="AY18" s="180" t="str">
        <f>IF(COUNT($F$26:$F$27)&lt;2,"",SUM($G$26:$I$26))</f>
        <v/>
      </c>
      <c r="AZ18" s="181" t="str">
        <f t="shared" si="2"/>
        <v/>
      </c>
    </row>
    <row r="19" spans="2:52" ht="15" customHeight="1" thickBot="1">
      <c r="B19" s="126"/>
      <c r="C19" s="417"/>
      <c r="D19" s="416" t="str">
        <f>IF(D9="","",D9)</f>
        <v/>
      </c>
      <c r="E19" s="416"/>
      <c r="F19" s="24" t="str">
        <f>IF(COUNT(G19:I19)&lt;1,"",IF(SUM(IF(G19&gt;G18,1,0),IF(H19&gt;H18,1,0),IF(I19&gt;I18,1,0))&gt;2,"??",SUM(IF(G19&gt;G18,1,0),IF(H19&gt;H18,1,0),IF(I19&gt;I18,1,0))))</f>
        <v/>
      </c>
      <c r="G19" s="147"/>
      <c r="H19" s="148"/>
      <c r="I19" s="149"/>
      <c r="J19" s="417"/>
      <c r="K19" s="416" t="str">
        <f>IF(K9="","",K9)</f>
        <v/>
      </c>
      <c r="L19" s="416"/>
      <c r="M19" s="24" t="str">
        <f>IF(COUNT(N19:P19)&lt;1,"",IF(SUM(IF(N19&gt;N18,1,0),IF(O19&gt;O18,1,0),IF(P19&gt;P18,1,0))&gt;2,"??",SUM(IF(N19&gt;N18,1,0),IF(O19&gt;O18,1,0),IF(P19&gt;P18,1,0))))</f>
        <v/>
      </c>
      <c r="N19" s="147"/>
      <c r="O19" s="148"/>
      <c r="P19" s="149"/>
      <c r="Q19" s="417"/>
      <c r="R19" s="416" t="str">
        <f>IF(R9="","",R9)</f>
        <v>Filipa Pinto (DSRLisboa)</v>
      </c>
      <c r="S19" s="416"/>
      <c r="T19" s="24" t="str">
        <f>IF(COUNT(U19:W19)&lt;1,"",IF(SUM(IF(U19&gt;U18,1,0),IF(V19&gt;V18,1,0),IF(W19&gt;W18,1,0))&gt;2,"??",SUM(IF(U19&gt;U18,1,0),IF(V19&gt;V18,1,0),IF(W19&gt;W18,1,0))))</f>
        <v/>
      </c>
      <c r="U19" s="147"/>
      <c r="V19" s="148"/>
      <c r="W19" s="149"/>
      <c r="X19" s="417"/>
      <c r="Y19" s="416" t="str">
        <f>IF(Y9="","",Y9)</f>
        <v>Mariana Neves (DSRNorte)</v>
      </c>
      <c r="Z19" s="416"/>
      <c r="AA19" s="24" t="str">
        <f>IF(COUNT(AB19:AD19)&lt;1,"",IF(SUM(IF(AB19&gt;AB18,1,0),IF(AC19&gt;AC18,1,0),IF(AD19&gt;AD18,1,0))&gt;2,"??",SUM(IF(AB19&gt;AB18,1,0),IF(AC19&gt;AC18,1,0),IF(AD19&gt;AD18,1,0))))</f>
        <v/>
      </c>
      <c r="AB19" s="147"/>
      <c r="AC19" s="148"/>
      <c r="AD19" s="149"/>
      <c r="AE19" s="427"/>
      <c r="AG19" s="109">
        <f>$C$22</f>
        <v>10</v>
      </c>
      <c r="AH19" s="161"/>
      <c r="AI19" s="109">
        <f>$H$35</f>
        <v>26</v>
      </c>
      <c r="AJ19" s="161"/>
      <c r="AK19" s="130">
        <f>$W$74</f>
        <v>40</v>
      </c>
      <c r="AL19" s="163"/>
      <c r="AN19" s="197">
        <f>IF($J16="","",$J16)</f>
        <v>3</v>
      </c>
      <c r="AO19" s="198" t="str">
        <f>IF($J$5="","",$J$5)</f>
        <v>Grupo B</v>
      </c>
      <c r="AP19" s="361" t="str">
        <f>IF($K$16="","",$K$16)</f>
        <v>Patrícia Silva (DSRAlentejo)</v>
      </c>
      <c r="AQ19" s="362" t="str">
        <f t="shared" si="0"/>
        <v>Grupo A</v>
      </c>
      <c r="AR19" s="362" t="str">
        <f t="shared" si="0"/>
        <v>Grupo A</v>
      </c>
      <c r="AS19" s="363" t="str">
        <f t="shared" si="0"/>
        <v>Grupo A</v>
      </c>
      <c r="AT19" s="199" t="str">
        <f>IF(COUNT($M$16:$M$17)&lt;2,"",IF($M$16&gt;$M$17,"V",IF($M$16&lt;$M$17,"D","Empate??")))</f>
        <v/>
      </c>
      <c r="AU19" s="200" t="str">
        <f>IF(COUNT($M$16:$M$17)&lt;2,"",$M$16)</f>
        <v/>
      </c>
      <c r="AV19" s="201" t="str">
        <f>IF(COUNT($M$16:$M$17)&lt;2,"",$M$17)</f>
        <v/>
      </c>
      <c r="AW19" s="202" t="str">
        <f t="shared" si="3"/>
        <v/>
      </c>
      <c r="AX19" s="201" t="str">
        <f>IF(COUNT($M$16:$M$17)&lt;2,"",SUM($N$16:$P$16))</f>
        <v/>
      </c>
      <c r="AY19" s="203" t="str">
        <f>IF(COUNT($M$16:$M$17)&lt;2,"",SUM($N$17:$P$17))</f>
        <v/>
      </c>
      <c r="AZ19" s="204" t="str">
        <f t="shared" si="2"/>
        <v/>
      </c>
    </row>
    <row r="20" spans="2:52" ht="15" customHeight="1" thickTop="1" thickBot="1">
      <c r="B20" s="126"/>
      <c r="C20" s="413">
        <v>9</v>
      </c>
      <c r="D20" s="415" t="str">
        <f>IF(D10="","",D10)</f>
        <v/>
      </c>
      <c r="E20" s="415"/>
      <c r="F20" s="25" t="str">
        <f>IF(COUNT(G20:I20)&lt;1,"",IF(SUM(IF(G20&gt;G21,1,0),IF(H20&gt;H21,1,0),IF(I20&gt;I21,1,0))&gt;2,"??",SUM(IF(G20&gt;G21,1,0),IF(H20&gt;H21,1,0),IF(I20&gt;I21,1,0))))</f>
        <v/>
      </c>
      <c r="G20" s="150"/>
      <c r="H20" s="151"/>
      <c r="I20" s="152"/>
      <c r="J20" s="413">
        <v>11</v>
      </c>
      <c r="K20" s="415" t="str">
        <f>IF(K10="","",K10)</f>
        <v/>
      </c>
      <c r="L20" s="415"/>
      <c r="M20" s="25" t="str">
        <f>IF(COUNT(N20:P20)&lt;1,"",IF(SUM(IF(N20&gt;N21,1,0),IF(O20&gt;O21,1,0),IF(P20&gt;P21,1,0))&gt;2,"??",SUM(IF(N20&gt;N21,1,0),IF(O20&gt;O21,1,0),IF(P20&gt;P21,1,0))))</f>
        <v/>
      </c>
      <c r="N20" s="150"/>
      <c r="O20" s="151"/>
      <c r="P20" s="152"/>
      <c r="Q20" s="413">
        <v>13</v>
      </c>
      <c r="R20" s="415" t="str">
        <f>IF(R10="","",R10)</f>
        <v/>
      </c>
      <c r="S20" s="415"/>
      <c r="T20" s="25" t="str">
        <f>IF(COUNT(U20:W20)&lt;1,"",IF(SUM(IF(U20&gt;U21,1,0),IF(V20&gt;V21,1,0),IF(W20&gt;W21,1,0))&gt;2,"??",SUM(IF(U20&gt;U21,1,0),IF(V20&gt;V21,1,0),IF(W20&gt;W21,1,0))))</f>
        <v/>
      </c>
      <c r="U20" s="150"/>
      <c r="V20" s="151"/>
      <c r="W20" s="152"/>
      <c r="X20" s="413">
        <v>15</v>
      </c>
      <c r="Y20" s="415" t="str">
        <f>IF(Y10="","",Y10)</f>
        <v/>
      </c>
      <c r="Z20" s="415"/>
      <c r="AA20" s="25" t="str">
        <f>IF(COUNT(AB20:AD20)&lt;1,"",IF(SUM(IF(AB20&gt;AB21,1,0),IF(AC20&gt;AC21,1,0),IF(AD20&gt;AD21,1,0))&gt;2,"??",SUM(IF(AB20&gt;AB21,1,0),IF(AC20&gt;AC21,1,0),IF(AD20&gt;AD21,1,0))))</f>
        <v/>
      </c>
      <c r="AB20" s="150"/>
      <c r="AC20" s="151"/>
      <c r="AD20" s="152"/>
      <c r="AE20" s="418" t="s">
        <v>45</v>
      </c>
      <c r="AG20" s="109">
        <f>$J$20</f>
        <v>11</v>
      </c>
      <c r="AH20" s="161"/>
      <c r="AI20" s="109">
        <f>$H$39</f>
        <v>27</v>
      </c>
      <c r="AJ20" s="161"/>
      <c r="AK20" s="421" t="s">
        <v>236</v>
      </c>
      <c r="AL20" s="422"/>
      <c r="AN20" s="205">
        <f>IF($J16="","",$J16)</f>
        <v>3</v>
      </c>
      <c r="AO20" s="206" t="str">
        <f t="shared" ref="AO20:AO30" si="4">IF($J$5="","",$J$5)</f>
        <v>Grupo B</v>
      </c>
      <c r="AP20" s="346" t="str">
        <f>IF($K$17="","",$K$17)</f>
        <v/>
      </c>
      <c r="AQ20" s="347" t="str">
        <f t="shared" si="0"/>
        <v>Grupo A</v>
      </c>
      <c r="AR20" s="347" t="str">
        <f t="shared" si="0"/>
        <v>Grupo A</v>
      </c>
      <c r="AS20" s="348" t="str">
        <f t="shared" si="0"/>
        <v>Grupo A</v>
      </c>
      <c r="AT20" s="207" t="str">
        <f>IF(COUNT($M$16:$M$17)&lt;2,"",IF($M$16&lt;$M$17,"V",IF($M$16&gt;$M$17,"D","Empate??")))</f>
        <v/>
      </c>
      <c r="AU20" s="208" t="str">
        <f>IF(COUNT($M$16:$M$17)&lt;2,"",$M$17)</f>
        <v/>
      </c>
      <c r="AV20" s="209" t="str">
        <f>IF(COUNT($M$16:$M$17)&lt;2,"",$M$16)</f>
        <v/>
      </c>
      <c r="AW20" s="210" t="str">
        <f t="shared" si="3"/>
        <v/>
      </c>
      <c r="AX20" s="209" t="str">
        <f>IF(COUNT($M$16:$M$17)&lt;2,"",SUM($N$17:$P$17))</f>
        <v/>
      </c>
      <c r="AY20" s="211" t="str">
        <f>IF(COUNT($M$16:$M$17)&lt;2,"",SUM($N$16:$P$16))</f>
        <v/>
      </c>
      <c r="AZ20" s="212" t="str">
        <f t="shared" si="2"/>
        <v/>
      </c>
    </row>
    <row r="21" spans="2:52" ht="15" customHeight="1">
      <c r="B21" s="126"/>
      <c r="C21" s="414"/>
      <c r="D21" s="409" t="str">
        <f>IF(D9="","",D9)</f>
        <v/>
      </c>
      <c r="E21" s="409"/>
      <c r="F21" s="26" t="str">
        <f>IF(COUNT(G21:I21)&lt;1,"",IF(SUM(IF(G21&gt;G20,1,0),IF(H21&gt;H20,1,0),IF(I21&gt;I20,1,0))&gt;2,"??",SUM(IF(G21&gt;G20,1,0),IF(H21&gt;H20,1,0),IF(I21&gt;I20,1,0))))</f>
        <v/>
      </c>
      <c r="G21" s="141"/>
      <c r="H21" s="142"/>
      <c r="I21" s="143"/>
      <c r="J21" s="414"/>
      <c r="K21" s="409" t="str">
        <f>IF(K9="","",K9)</f>
        <v/>
      </c>
      <c r="L21" s="409"/>
      <c r="M21" s="26" t="str">
        <f>IF(COUNT(N21:P21)&lt;1,"",IF(SUM(IF(N21&gt;N20,1,0),IF(O21&gt;O20,1,0),IF(P21&gt;P20,1,0))&gt;2,"??",SUM(IF(N21&gt;N20,1,0),IF(O21&gt;O20,1,0),IF(P21&gt;P20,1,0))))</f>
        <v/>
      </c>
      <c r="N21" s="141"/>
      <c r="O21" s="142"/>
      <c r="P21" s="143"/>
      <c r="Q21" s="414"/>
      <c r="R21" s="409" t="str">
        <f>IF(R9="","",R9)</f>
        <v>Filipa Pinto (DSRLisboa)</v>
      </c>
      <c r="S21" s="409"/>
      <c r="T21" s="26" t="str">
        <f>IF(COUNT(U21:W21)&lt;1,"",IF(SUM(IF(U21&gt;U20,1,0),IF(V21&gt;V20,1,0),IF(W21&gt;W20,1,0))&gt;2,"??",SUM(IF(U21&gt;U20,1,0),IF(V21&gt;V20,1,0),IF(W21&gt;W20,1,0))))</f>
        <v/>
      </c>
      <c r="U21" s="141"/>
      <c r="V21" s="142"/>
      <c r="W21" s="143"/>
      <c r="X21" s="414"/>
      <c r="Y21" s="409" t="str">
        <f>IF(Y9="","",Y9)</f>
        <v>Mariana Neves (DSRNorte)</v>
      </c>
      <c r="Z21" s="409"/>
      <c r="AA21" s="26" t="str">
        <f>IF(COUNT(AB21:AD21)&lt;1,"",IF(SUM(IF(AB21&gt;AB20,1,0),IF(AC21&gt;AC20,1,0),IF(AD21&gt;AD20,1,0))&gt;2,"??",SUM(IF(AB21&gt;AB20,1,0),IF(AC21&gt;AC20,1,0),IF(AD21&gt;AD20,1,0))))</f>
        <v/>
      </c>
      <c r="AB21" s="141"/>
      <c r="AC21" s="142"/>
      <c r="AD21" s="143"/>
      <c r="AE21" s="419"/>
      <c r="AG21" s="109">
        <f>$J$22</f>
        <v>12</v>
      </c>
      <c r="AH21" s="161"/>
      <c r="AI21" s="109">
        <f>$H$43</f>
        <v>28</v>
      </c>
      <c r="AJ21" s="161"/>
      <c r="AK21" s="159">
        <f>$O$88</f>
        <v>41</v>
      </c>
      <c r="AL21" s="160"/>
      <c r="AN21" s="213">
        <f>IF($J18="","",$J18)</f>
        <v>4</v>
      </c>
      <c r="AO21" s="214" t="str">
        <f t="shared" si="4"/>
        <v>Grupo B</v>
      </c>
      <c r="AP21" s="349" t="str">
        <f>IF($K$18="","",$K$18)</f>
        <v>Gisela Mouteira (DSRNorte)</v>
      </c>
      <c r="AQ21" s="350" t="str">
        <f t="shared" si="0"/>
        <v>Grupo A</v>
      </c>
      <c r="AR21" s="350" t="str">
        <f t="shared" si="0"/>
        <v>Grupo A</v>
      </c>
      <c r="AS21" s="351" t="str">
        <f t="shared" si="0"/>
        <v>Grupo A</v>
      </c>
      <c r="AT21" s="215" t="str">
        <f>IF(COUNT($M$18:$M$19)&lt;2,"",IF($M$18&gt;$M$19,"V",IF($M$18&lt;$M$19,"D","Empate??")))</f>
        <v/>
      </c>
      <c r="AU21" s="216" t="str">
        <f>IF(COUNT($M$18:$M$19)&lt;2,"",$M$18)</f>
        <v/>
      </c>
      <c r="AV21" s="217" t="str">
        <f>IF(COUNT($M$18:$M$19)&lt;2,"",$M$19)</f>
        <v/>
      </c>
      <c r="AW21" s="218" t="str">
        <f t="shared" si="3"/>
        <v/>
      </c>
      <c r="AX21" s="217" t="str">
        <f>IF(COUNT($M$18:$M$19)&lt;2,"",SUM($N$18:$P$18))</f>
        <v/>
      </c>
      <c r="AY21" s="219" t="str">
        <f>IF(COUNT($M$18:$M$19)&lt;2,"",SUM($N$19:$P$19))</f>
        <v/>
      </c>
      <c r="AZ21" s="220" t="str">
        <f t="shared" si="2"/>
        <v/>
      </c>
    </row>
    <row r="22" spans="2:52" ht="15" customHeight="1">
      <c r="B22" s="126"/>
      <c r="C22" s="410">
        <v>10</v>
      </c>
      <c r="D22" s="391" t="str">
        <f>IF(D7="","",D7)</f>
        <v>Joana Eduardo (DSRLisboa)</v>
      </c>
      <c r="E22" s="391"/>
      <c r="F22" s="27" t="str">
        <f>IF(COUNT(G22:I22)&lt;1,"",IF(SUM(IF(G22&gt;G23,1,0),IF(H22&gt;H23,1,0),IF(I22&gt;I23,1,0))&gt;2,"??",SUM(IF(G22&gt;G23,1,0),IF(H22&gt;H23,1,0),IF(I22&gt;I23,1,0))))</f>
        <v/>
      </c>
      <c r="G22" s="144"/>
      <c r="H22" s="145"/>
      <c r="I22" s="146"/>
      <c r="J22" s="410">
        <v>12</v>
      </c>
      <c r="K22" s="391" t="str">
        <f>IF(K7="","",K7)</f>
        <v>Patrícia Silva (DSRAlentejo)</v>
      </c>
      <c r="L22" s="391"/>
      <c r="M22" s="27" t="str">
        <f>IF(COUNT(N22:P22)&lt;1,"",IF(SUM(IF(N22&gt;N23,1,0),IF(O22&gt;O23,1,0),IF(P22&gt;P23,1,0))&gt;2,"??",SUM(IF(N22&gt;N23,1,0),IF(O22&gt;O23,1,0),IF(P22&gt;P23,1,0))))</f>
        <v/>
      </c>
      <c r="N22" s="144"/>
      <c r="O22" s="145"/>
      <c r="P22" s="146"/>
      <c r="Q22" s="410">
        <v>14</v>
      </c>
      <c r="R22" s="391" t="str">
        <f>IF(R7="","",R7)</f>
        <v>Nara Silva (DSRAlgarve)</v>
      </c>
      <c r="S22" s="391"/>
      <c r="T22" s="27" t="str">
        <f>IF(COUNT(U22:W22)&lt;1,"",IF(SUM(IF(U22&gt;U23,1,0),IF(V22&gt;V23,1,0),IF(W22&gt;W23,1,0))&gt;2,"??",SUM(IF(U22&gt;U23,1,0),IF(V22&gt;V23,1,0),IF(W22&gt;W23,1,0))))</f>
        <v/>
      </c>
      <c r="U22" s="144"/>
      <c r="V22" s="145"/>
      <c r="W22" s="146"/>
      <c r="X22" s="410">
        <v>16</v>
      </c>
      <c r="Y22" s="391" t="str">
        <f>IF(Y7="","",Y7)</f>
        <v>Alexandra Alves (DSRCentro)</v>
      </c>
      <c r="Z22" s="391"/>
      <c r="AA22" s="27" t="str">
        <f>IF(COUNT(AB22:AD22)&lt;1,"",IF(SUM(IF(AB22&gt;AB23,1,0),IF(AC22&gt;AC23,1,0),IF(AD22&gt;AD23,1,0))&gt;2,"??",SUM(IF(AB22&gt;AB23,1,0),IF(AC22&gt;AC23,1,0),IF(AD22&gt;AD23,1,0))))</f>
        <v/>
      </c>
      <c r="AB22" s="144"/>
      <c r="AC22" s="145"/>
      <c r="AD22" s="146"/>
      <c r="AE22" s="419"/>
      <c r="AG22" s="109">
        <f>$Q$20</f>
        <v>13</v>
      </c>
      <c r="AH22" s="161"/>
      <c r="AI22" s="109">
        <f>$O$33</f>
        <v>29</v>
      </c>
      <c r="AJ22" s="161"/>
      <c r="AK22" s="109">
        <f>$O$96</f>
        <v>42</v>
      </c>
      <c r="AL22" s="161"/>
      <c r="AN22" s="205">
        <f>IF($J18="","",$J18)</f>
        <v>4</v>
      </c>
      <c r="AO22" s="206" t="str">
        <f t="shared" si="4"/>
        <v>Grupo B</v>
      </c>
      <c r="AP22" s="346" t="str">
        <f>IF($K$19="","",$K$19)</f>
        <v/>
      </c>
      <c r="AQ22" s="347" t="str">
        <f t="shared" si="0"/>
        <v>Grupo A</v>
      </c>
      <c r="AR22" s="347" t="str">
        <f t="shared" si="0"/>
        <v>Grupo A</v>
      </c>
      <c r="AS22" s="348" t="str">
        <f t="shared" si="0"/>
        <v>Grupo A</v>
      </c>
      <c r="AT22" s="207" t="str">
        <f>IF(COUNT($M$18:$M$19)&lt;2,"",IF($M$18&lt;$M$19,"V",IF($M$18&gt;$M$19,"D","Empate??")))</f>
        <v/>
      </c>
      <c r="AU22" s="208" t="str">
        <f>IF(COUNT($M$18:$M$19)&lt;2,"",$M$19)</f>
        <v/>
      </c>
      <c r="AV22" s="209" t="str">
        <f>IF(COUNT($M$18:$M$19)&lt;2,"",$M$18)</f>
        <v/>
      </c>
      <c r="AW22" s="210" t="str">
        <f t="shared" si="3"/>
        <v/>
      </c>
      <c r="AX22" s="209" t="str">
        <f>IF(COUNT($M$18:$M$19)&lt;2,"",SUM($N$19:$P$19))</f>
        <v/>
      </c>
      <c r="AY22" s="211" t="str">
        <f>IF(COUNT($M$18:$M$19)&lt;2,"",SUM($N$18:$P$18))</f>
        <v/>
      </c>
      <c r="AZ22" s="212" t="str">
        <f t="shared" si="2"/>
        <v/>
      </c>
    </row>
    <row r="23" spans="2:52" ht="15" customHeight="1" thickBot="1">
      <c r="B23" s="126"/>
      <c r="C23" s="411"/>
      <c r="D23" s="412" t="str">
        <f>IF(D8="","",D8)</f>
        <v>Aida Nunes (DSRNorte)</v>
      </c>
      <c r="E23" s="412"/>
      <c r="F23" s="28" t="str">
        <f>IF(COUNT(G23:I23)&lt;1,"",IF(SUM(IF(G23&gt;G22,1,0),IF(H23&gt;H22,1,0),IF(I23&gt;I22,1,0))&gt;2,"??",SUM(IF(G23&gt;G22,1,0),IF(H23&gt;H22,1,0),IF(I23&gt;I22,1,0))))</f>
        <v/>
      </c>
      <c r="G23" s="153"/>
      <c r="H23" s="154"/>
      <c r="I23" s="155"/>
      <c r="J23" s="411"/>
      <c r="K23" s="412" t="str">
        <f>IF(K8="","",K8)</f>
        <v>Gisela Mouteira (DSRNorte)</v>
      </c>
      <c r="L23" s="412"/>
      <c r="M23" s="28" t="str">
        <f>IF(COUNT(N23:P23)&lt;1,"",IF(SUM(IF(N23&gt;N22,1,0),IF(O23&gt;O22,1,0),IF(P23&gt;P22,1,0))&gt;2,"??",SUM(IF(N23&gt;N22,1,0),IF(O23&gt;O22,1,0),IF(P23&gt;P22,1,0))))</f>
        <v/>
      </c>
      <c r="N23" s="153"/>
      <c r="O23" s="154"/>
      <c r="P23" s="155"/>
      <c r="Q23" s="411"/>
      <c r="R23" s="412" t="str">
        <f>IF(R8="","",R8)</f>
        <v>Mariana Eiras (DSRNorte)</v>
      </c>
      <c r="S23" s="412"/>
      <c r="T23" s="28" t="str">
        <f>IF(COUNT(U23:W23)&lt;1,"",IF(SUM(IF(U23&gt;U22,1,0),IF(V23&gt;V22,1,0),IF(W23&gt;W22,1,0))&gt;2,"??",SUM(IF(U23&gt;U22,1,0),IF(V23&gt;V22,1,0),IF(W23&gt;W22,1,0))))</f>
        <v/>
      </c>
      <c r="U23" s="153"/>
      <c r="V23" s="154"/>
      <c r="W23" s="155"/>
      <c r="X23" s="411"/>
      <c r="Y23" s="412" t="str">
        <f>IF(Y8="","",Y8)</f>
        <v>Mariana Afonso (DSRLisboa)</v>
      </c>
      <c r="Z23" s="412"/>
      <c r="AA23" s="28" t="str">
        <f>IF(COUNT(AB23:AD23)&lt;1,"",IF(SUM(IF(AB23&gt;AB22,1,0),IF(AC23&gt;AC22,1,0),IF(AD23&gt;AD22,1,0))&gt;2,"??",SUM(IF(AB23&gt;AB22,1,0),IF(AC23&gt;AC22,1,0),IF(AD23&gt;AD22,1,0))))</f>
        <v/>
      </c>
      <c r="AB23" s="153"/>
      <c r="AC23" s="154"/>
      <c r="AD23" s="155"/>
      <c r="AE23" s="420"/>
      <c r="AG23" s="109">
        <f>$Q$22</f>
        <v>14</v>
      </c>
      <c r="AH23" s="161"/>
      <c r="AI23" s="109">
        <f>$O$41</f>
        <v>30</v>
      </c>
      <c r="AJ23" s="161"/>
      <c r="AK23" s="109">
        <f>$V$92</f>
        <v>43</v>
      </c>
      <c r="AL23" s="161"/>
      <c r="AN23" s="221">
        <f>IF($J20="","",$J20)</f>
        <v>11</v>
      </c>
      <c r="AO23" s="222" t="str">
        <f t="shared" si="4"/>
        <v>Grupo B</v>
      </c>
      <c r="AP23" s="349" t="str">
        <f>IF($K$20="","",$K$20)</f>
        <v/>
      </c>
      <c r="AQ23" s="350" t="str">
        <f t="shared" ref="AQ23:AS38" si="5">IF($C$5="","",$C$5)</f>
        <v>Grupo A</v>
      </c>
      <c r="AR23" s="350" t="str">
        <f t="shared" si="5"/>
        <v>Grupo A</v>
      </c>
      <c r="AS23" s="351" t="str">
        <f t="shared" si="5"/>
        <v>Grupo A</v>
      </c>
      <c r="AT23" s="223" t="str">
        <f>IF(COUNT($M$20:$M$21)&lt;2,"",IF($M$20&gt;$M$21,"V",IF($M$20&lt;$M$21,"D","Empate??")))</f>
        <v/>
      </c>
      <c r="AU23" s="224" t="str">
        <f>IF(COUNT($M$20:$M$21)&lt;2,"",$M$20)</f>
        <v/>
      </c>
      <c r="AV23" s="225" t="str">
        <f>IF(COUNT($M$20:$M$21)&lt;2,"",$M$21)</f>
        <v/>
      </c>
      <c r="AW23" s="226" t="str">
        <f t="shared" si="3"/>
        <v/>
      </c>
      <c r="AX23" s="225" t="str">
        <f>IF(COUNT($M$20:$M$21)&lt;2,"",SUM($N$20:$P$20))</f>
        <v/>
      </c>
      <c r="AY23" s="227" t="str">
        <f>IF(COUNT($M$20:$M$21)&lt;2,"",SUM($N$21:$P$21))</f>
        <v/>
      </c>
      <c r="AZ23" s="228" t="str">
        <f t="shared" si="2"/>
        <v/>
      </c>
    </row>
    <row r="24" spans="2:52" ht="15" customHeight="1" thickTop="1" thickBot="1">
      <c r="B24" s="126"/>
      <c r="C24" s="392">
        <v>17</v>
      </c>
      <c r="D24" s="394" t="str">
        <f>IF(D8="","",D8)</f>
        <v>Aida Nunes (DSRNorte)</v>
      </c>
      <c r="E24" s="394"/>
      <c r="F24" s="22" t="str">
        <f>IF(COUNT(G24:I24)&lt;1,"",IF(SUM(IF(G24&gt;G25,1,0),IF(H24&gt;H25,1,0),IF(I24&gt;I25,1,0))&gt;2,"??",SUM(IF(G24&gt;G25,1,0),IF(H24&gt;H25,1,0),IF(I24&gt;I25,1,0))))</f>
        <v/>
      </c>
      <c r="G24" s="141"/>
      <c r="H24" s="142"/>
      <c r="I24" s="143"/>
      <c r="J24" s="392">
        <v>19</v>
      </c>
      <c r="K24" s="394" t="str">
        <f>IF(K8="","",K8)</f>
        <v>Gisela Mouteira (DSRNorte)</v>
      </c>
      <c r="L24" s="394"/>
      <c r="M24" s="22" t="str">
        <f>IF(COUNT(N24:P24)&lt;1,"",IF(SUM(IF(N24&gt;N25,1,0),IF(O24&gt;O25,1,0),IF(P24&gt;P25,1,0))&gt;2,"??",SUM(IF(N24&gt;N25,1,0),IF(O24&gt;O25,1,0),IF(P24&gt;P25,1,0))))</f>
        <v/>
      </c>
      <c r="N24" s="141"/>
      <c r="O24" s="142"/>
      <c r="P24" s="143"/>
      <c r="Q24" s="392">
        <v>21</v>
      </c>
      <c r="R24" s="394" t="str">
        <f>IF(R8="","",R8)</f>
        <v>Mariana Eiras (DSRNorte)</v>
      </c>
      <c r="S24" s="394"/>
      <c r="T24" s="22" t="str">
        <f>IF(COUNT(U24:W24)&lt;1,"",IF(SUM(IF(U24&gt;U25,1,0),IF(V24&gt;V25,1,0),IF(W24&gt;W25,1,0))&gt;2,"??",SUM(IF(U24&gt;U25,1,0),IF(V24&gt;V25,1,0),IF(W24&gt;W25,1,0))))</f>
        <v/>
      </c>
      <c r="U24" s="141"/>
      <c r="V24" s="142"/>
      <c r="W24" s="143"/>
      <c r="X24" s="392">
        <v>23</v>
      </c>
      <c r="Y24" s="394" t="str">
        <f>IF(Y8="","",Y8)</f>
        <v>Mariana Afonso (DSRLisboa)</v>
      </c>
      <c r="Z24" s="394"/>
      <c r="AA24" s="22" t="str">
        <f>IF(COUNT(AB24:AD24)&lt;1,"",IF(SUM(IF(AB24&gt;AB25,1,0),IF(AC24&gt;AC25,1,0),IF(AD24&gt;AD25,1,0))&gt;2,"??",SUM(IF(AB24&gt;AB25,1,0),IF(AC24&gt;AC25,1,0),IF(AD24&gt;AD25,1,0))))</f>
        <v/>
      </c>
      <c r="AB24" s="141"/>
      <c r="AC24" s="142"/>
      <c r="AD24" s="143"/>
      <c r="AE24" s="395" t="s">
        <v>46</v>
      </c>
      <c r="AG24" s="109">
        <f>$X$20</f>
        <v>15</v>
      </c>
      <c r="AH24" s="161"/>
      <c r="AI24" s="109">
        <f>$V$37</f>
        <v>31</v>
      </c>
      <c r="AJ24" s="161"/>
      <c r="AK24" s="130">
        <f>$W$92</f>
        <v>44</v>
      </c>
      <c r="AL24" s="163"/>
      <c r="AN24" s="205">
        <f>IF($J20="","",$J20)</f>
        <v>11</v>
      </c>
      <c r="AO24" s="206" t="str">
        <f t="shared" si="4"/>
        <v>Grupo B</v>
      </c>
      <c r="AP24" s="346" t="str">
        <f>IF($K$21="","",$K$21)</f>
        <v/>
      </c>
      <c r="AQ24" s="347" t="str">
        <f t="shared" si="5"/>
        <v>Grupo A</v>
      </c>
      <c r="AR24" s="347" t="str">
        <f t="shared" si="5"/>
        <v>Grupo A</v>
      </c>
      <c r="AS24" s="348" t="str">
        <f t="shared" si="5"/>
        <v>Grupo A</v>
      </c>
      <c r="AT24" s="207" t="str">
        <f>IF(COUNT($M$20:$M$21)&lt;2,"",IF($M$20&lt;$M$21,"V",IF($M$20&gt;$M$21,"D","Empate??")))</f>
        <v/>
      </c>
      <c r="AU24" s="208" t="str">
        <f>IF(COUNT($M$20:$M$21)&lt;2,"",$M$21)</f>
        <v/>
      </c>
      <c r="AV24" s="209" t="str">
        <f>IF(COUNT($M$20:$M$21)&lt;2,"",$M$20)</f>
        <v/>
      </c>
      <c r="AW24" s="210" t="str">
        <f t="shared" si="3"/>
        <v/>
      </c>
      <c r="AX24" s="209" t="str">
        <f>IF(COUNT($M$20:$M$21)&lt;2,"",SUM($N$21:$P$21))</f>
        <v/>
      </c>
      <c r="AY24" s="211" t="str">
        <f>IF(COUNT($M$20:$M$21)&lt;2,"",SUM($N$20:$P$20))</f>
        <v/>
      </c>
      <c r="AZ24" s="212" t="str">
        <f t="shared" si="2"/>
        <v/>
      </c>
    </row>
    <row r="25" spans="2:52" ht="15" customHeight="1" thickBot="1">
      <c r="B25" s="126"/>
      <c r="C25" s="393"/>
      <c r="D25" s="398" t="str">
        <f>IF(D10="","",D10)</f>
        <v/>
      </c>
      <c r="E25" s="398"/>
      <c r="F25" s="22" t="str">
        <f>IF(COUNT(G25:I25)&lt;1,"",IF(SUM(IF(G25&gt;G24,1,0),IF(H25&gt;H24,1,0),IF(I25&gt;I24,1,0))&gt;2,"??",SUM(IF(G25&gt;G24,1,0),IF(H25&gt;H24,1,0),IF(I25&gt;I24,1,0))))</f>
        <v/>
      </c>
      <c r="G25" s="141"/>
      <c r="H25" s="142"/>
      <c r="I25" s="143"/>
      <c r="J25" s="393"/>
      <c r="K25" s="398" t="str">
        <f>IF(K10="","",K10)</f>
        <v/>
      </c>
      <c r="L25" s="398"/>
      <c r="M25" s="22" t="str">
        <f>IF(COUNT(N25:P25)&lt;1,"",IF(SUM(IF(N25&gt;N24,1,0),IF(O25&gt;O24,1,0),IF(P25&gt;P24,1,0))&gt;2,"??",SUM(IF(N25&gt;N24,1,0),IF(O25&gt;O24,1,0),IF(P25&gt;P24,1,0))))</f>
        <v/>
      </c>
      <c r="N25" s="141"/>
      <c r="O25" s="142"/>
      <c r="P25" s="143"/>
      <c r="Q25" s="393"/>
      <c r="R25" s="398" t="str">
        <f>IF(R10="","",R10)</f>
        <v/>
      </c>
      <c r="S25" s="398"/>
      <c r="T25" s="22" t="str">
        <f>IF(COUNT(U25:W25)&lt;1,"",IF(SUM(IF(U25&gt;U24,1,0),IF(V25&gt;V24,1,0),IF(W25&gt;W24,1,0))&gt;2,"??",SUM(IF(U25&gt;U24,1,0),IF(V25&gt;V24,1,0),IF(W25&gt;W24,1,0))))</f>
        <v/>
      </c>
      <c r="U25" s="141"/>
      <c r="V25" s="142"/>
      <c r="W25" s="143"/>
      <c r="X25" s="393"/>
      <c r="Y25" s="398" t="str">
        <f>IF(Y10="","",Y10)</f>
        <v/>
      </c>
      <c r="Z25" s="398"/>
      <c r="AA25" s="22" t="str">
        <f>IF(COUNT(AB25:AD25)&lt;1,"",IF(SUM(IF(AB25&gt;AB24,1,0),IF(AC25&gt;AC24,1,0),IF(AD25&gt;AD24,1,0))&gt;2,"??",SUM(IF(AB25&gt;AB24,1,0),IF(AC25&gt;AC24,1,0),IF(AD25&gt;AD24,1,0))))</f>
        <v/>
      </c>
      <c r="AB25" s="141"/>
      <c r="AC25" s="142"/>
      <c r="AD25" s="143"/>
      <c r="AE25" s="396"/>
      <c r="AG25" s="130">
        <f>$X$22</f>
        <v>16</v>
      </c>
      <c r="AH25" s="163"/>
      <c r="AI25" s="130">
        <f>$W$37</f>
        <v>32</v>
      </c>
      <c r="AJ25" s="163"/>
      <c r="AK25" s="159"/>
      <c r="AL25" s="293"/>
      <c r="AN25" s="221">
        <f>IF($J22="","",$J22)</f>
        <v>12</v>
      </c>
      <c r="AO25" s="222" t="str">
        <f t="shared" si="4"/>
        <v>Grupo B</v>
      </c>
      <c r="AP25" s="349" t="str">
        <f>IF($K$22="","",$K$22)</f>
        <v>Patrícia Silva (DSRAlentejo)</v>
      </c>
      <c r="AQ25" s="350" t="str">
        <f t="shared" si="5"/>
        <v>Grupo A</v>
      </c>
      <c r="AR25" s="350" t="str">
        <f t="shared" si="5"/>
        <v>Grupo A</v>
      </c>
      <c r="AS25" s="351" t="str">
        <f t="shared" si="5"/>
        <v>Grupo A</v>
      </c>
      <c r="AT25" s="223" t="str">
        <f>IF(COUNT($M$22:$M$23)&lt;2,"",IF($M$22&gt;$M$23,"V",IF($M$22&lt;$M$23,"D","Empate??")))</f>
        <v/>
      </c>
      <c r="AU25" s="224" t="str">
        <f>IF(COUNT($M$22:$M$23)&lt;2,"",$M$22)</f>
        <v/>
      </c>
      <c r="AV25" s="225" t="str">
        <f>IF(COUNT($M$22:$M$23)&lt;2,"",$M$23)</f>
        <v/>
      </c>
      <c r="AW25" s="226" t="str">
        <f t="shared" si="3"/>
        <v/>
      </c>
      <c r="AX25" s="225" t="str">
        <f>IF(COUNT($M$22:$M$23)&lt;2,"",SUM($N$22:$P$22))</f>
        <v/>
      </c>
      <c r="AY25" s="227" t="str">
        <f>IF(COUNT($M$22:$M$23)&lt;2,"",SUM($N$23:$P$23))</f>
        <v/>
      </c>
      <c r="AZ25" s="228" t="str">
        <f t="shared" si="2"/>
        <v/>
      </c>
    </row>
    <row r="26" spans="2:52" ht="15" customHeight="1" thickBot="1">
      <c r="B26" s="126"/>
      <c r="C26" s="373">
        <v>18</v>
      </c>
      <c r="D26" s="375" t="str">
        <f>IF(D9="","",D9)</f>
        <v/>
      </c>
      <c r="E26" s="375"/>
      <c r="F26" s="23" t="str">
        <f>IF(COUNT(G26:I26)&lt;1,"",IF(SUM(IF(G26&gt;G27,1,0),IF(H26&gt;H27,1,0),IF(I26&gt;I27,1,0))&gt;2,"??",SUM(IF(G26&gt;G27,1,0),IF(H26&gt;H27,1,0),IF(I26&gt;I27,1,0))))</f>
        <v/>
      </c>
      <c r="G26" s="144"/>
      <c r="H26" s="145"/>
      <c r="I26" s="146"/>
      <c r="J26" s="373">
        <v>20</v>
      </c>
      <c r="K26" s="375" t="str">
        <f>IF(K9="","",K9)</f>
        <v/>
      </c>
      <c r="L26" s="375"/>
      <c r="M26" s="23" t="str">
        <f>IF(COUNT(N26:P26)&lt;1,"",IF(SUM(IF(N26&gt;N27,1,0),IF(O26&gt;O27,1,0),IF(P26&gt;P27,1,0))&gt;2,"??",SUM(IF(N26&gt;N27,1,0),IF(O26&gt;O27,1,0),IF(P26&gt;P27,1,0))))</f>
        <v/>
      </c>
      <c r="N26" s="144"/>
      <c r="O26" s="145"/>
      <c r="P26" s="146"/>
      <c r="Q26" s="373">
        <v>22</v>
      </c>
      <c r="R26" s="375" t="str">
        <f>IF(R9="","",R9)</f>
        <v>Filipa Pinto (DSRLisboa)</v>
      </c>
      <c r="S26" s="375"/>
      <c r="T26" s="23" t="str">
        <f>IF(COUNT(U26:W26)&lt;1,"",IF(SUM(IF(U26&gt;U27,1,0),IF(V26&gt;V27,1,0),IF(W26&gt;W27,1,0))&gt;2,"??",SUM(IF(U26&gt;U27,1,0),IF(V26&gt;V27,1,0),IF(W26&gt;W27,1,0))))</f>
        <v/>
      </c>
      <c r="U26" s="144"/>
      <c r="V26" s="145"/>
      <c r="W26" s="146"/>
      <c r="X26" s="373">
        <v>24</v>
      </c>
      <c r="Y26" s="375" t="str">
        <f>IF(Y9="","",Y9)</f>
        <v>Mariana Neves (DSRNorte)</v>
      </c>
      <c r="Z26" s="375"/>
      <c r="AA26" s="23" t="str">
        <f>IF(COUNT(AB26:AD26)&lt;1,"",IF(SUM(IF(AB26&gt;AB27,1,0),IF(AC26&gt;AC27,1,0),IF(AD26&gt;AD27,1,0))&gt;2,"??",SUM(IF(AB26&gt;AB27,1,0),IF(AC26&gt;AC27,1,0),IF(AD26&gt;AD27,1,0))))</f>
        <v/>
      </c>
      <c r="AB26" s="144"/>
      <c r="AC26" s="145"/>
      <c r="AD26" s="146"/>
      <c r="AE26" s="396"/>
      <c r="AG26" s="399" t="s">
        <v>237</v>
      </c>
      <c r="AH26" s="399"/>
      <c r="AI26" s="399" t="s">
        <v>238</v>
      </c>
      <c r="AJ26" s="399"/>
      <c r="AN26" s="205">
        <f>IF($J22="","",$J22)</f>
        <v>12</v>
      </c>
      <c r="AO26" s="206" t="str">
        <f t="shared" si="4"/>
        <v>Grupo B</v>
      </c>
      <c r="AP26" s="346" t="str">
        <f>IF($K$23="","",$K$23)</f>
        <v>Gisela Mouteira (DSRNorte)</v>
      </c>
      <c r="AQ26" s="347" t="str">
        <f t="shared" si="5"/>
        <v>Grupo A</v>
      </c>
      <c r="AR26" s="347" t="str">
        <f t="shared" si="5"/>
        <v>Grupo A</v>
      </c>
      <c r="AS26" s="348" t="str">
        <f t="shared" si="5"/>
        <v>Grupo A</v>
      </c>
      <c r="AT26" s="207" t="str">
        <f>IF(COUNT($M$22:$M$23)&lt;2,"",IF($M$22&lt;$M$23,"V",IF($M$22&gt;$M$23,"D","Empate??")))</f>
        <v/>
      </c>
      <c r="AU26" s="208" t="str">
        <f>IF(COUNT($M$22:$M$23)&lt;2,"",$M$23)</f>
        <v/>
      </c>
      <c r="AV26" s="209" t="str">
        <f>IF(COUNT($M$22:$M$23)&lt;2,"",$M$22)</f>
        <v/>
      </c>
      <c r="AW26" s="210" t="str">
        <f t="shared" si="3"/>
        <v/>
      </c>
      <c r="AX26" s="209" t="str">
        <f>IF(COUNT($M$22:$M$23)&lt;2,"",SUM($N$23:$P$23))</f>
        <v/>
      </c>
      <c r="AY26" s="211" t="str">
        <f>IF(COUNT($M$22:$M$23)&lt;2,"",SUM($N$22:$P$22))</f>
        <v/>
      </c>
      <c r="AZ26" s="212" t="str">
        <f t="shared" si="2"/>
        <v/>
      </c>
    </row>
    <row r="27" spans="2:52" ht="15" customHeight="1" thickBot="1">
      <c r="B27" s="126"/>
      <c r="C27" s="374"/>
      <c r="D27" s="400" t="str">
        <f>IF(D7="","",D7)</f>
        <v>Joana Eduardo (DSRLisboa)</v>
      </c>
      <c r="E27" s="400"/>
      <c r="F27" s="29" t="str">
        <f>IF(COUNT(G27:I27)&lt;1,"",IF(SUM(IF(G27&gt;G26,1,0),IF(H27&gt;H26,1,0),IF(I27&gt;I26,1,0))&gt;2,"??",SUM(IF(G27&gt;G26,1,0),IF(H27&gt;H26,1,0),IF(I27&gt;I26,1,0))))</f>
        <v/>
      </c>
      <c r="G27" s="156"/>
      <c r="H27" s="157"/>
      <c r="I27" s="158"/>
      <c r="J27" s="374"/>
      <c r="K27" s="400" t="str">
        <f>IF(K7="","",K7)</f>
        <v>Patrícia Silva (DSRAlentejo)</v>
      </c>
      <c r="L27" s="400"/>
      <c r="M27" s="29" t="str">
        <f>IF(COUNT(N27:P27)&lt;1,"",IF(SUM(IF(N27&gt;N26,1,0),IF(O27&gt;O26,1,0),IF(P27&gt;P26,1,0))&gt;2,"??",SUM(IF(N27&gt;N26,1,0),IF(O27&gt;O26,1,0),IF(P27&gt;P26,1,0))))</f>
        <v/>
      </c>
      <c r="N27" s="156"/>
      <c r="O27" s="157"/>
      <c r="P27" s="158"/>
      <c r="Q27" s="374"/>
      <c r="R27" s="400" t="str">
        <f>IF(R7="","",R7)</f>
        <v>Nara Silva (DSRAlgarve)</v>
      </c>
      <c r="S27" s="400"/>
      <c r="T27" s="29" t="str">
        <f>IF(COUNT(U27:W27)&lt;1,"",IF(SUM(IF(U27&gt;U26,1,0),IF(V27&gt;V26,1,0),IF(W27&gt;W26,1,0))&gt;2,"??",SUM(IF(U27&gt;U26,1,0),IF(V27&gt;V26,1,0),IF(W27&gt;W26,1,0))))</f>
        <v/>
      </c>
      <c r="U27" s="156"/>
      <c r="V27" s="157"/>
      <c r="W27" s="158"/>
      <c r="X27" s="374"/>
      <c r="Y27" s="400" t="str">
        <f>IF(Y7="","",Y7)</f>
        <v>Alexandra Alves (DSRCentro)</v>
      </c>
      <c r="Z27" s="400"/>
      <c r="AA27" s="29" t="str">
        <f>IF(COUNT(AB27:AD27)&lt;1,"",IF(SUM(IF(AB27&gt;AB26,1,0),IF(AC27&gt;AC26,1,0),IF(AD27&gt;AD26,1,0))&gt;2,"??",SUM(IF(AB27&gt;AB26,1,0),IF(AC27&gt;AC26,1,0),IF(AD27&gt;AD26,1,0))))</f>
        <v/>
      </c>
      <c r="AB27" s="156"/>
      <c r="AC27" s="157"/>
      <c r="AD27" s="158"/>
      <c r="AE27" s="397"/>
      <c r="AG27" s="401">
        <v>1</v>
      </c>
      <c r="AH27" s="402"/>
      <c r="AI27" s="405">
        <v>2</v>
      </c>
      <c r="AJ27" s="406"/>
      <c r="AN27" s="221">
        <f>IF($J24="","",$J24)</f>
        <v>19</v>
      </c>
      <c r="AO27" s="222" t="str">
        <f t="shared" si="4"/>
        <v>Grupo B</v>
      </c>
      <c r="AP27" s="349" t="str">
        <f>IF($K$24="","",$K$24)</f>
        <v>Gisela Mouteira (DSRNorte)</v>
      </c>
      <c r="AQ27" s="350" t="str">
        <f t="shared" si="5"/>
        <v>Grupo A</v>
      </c>
      <c r="AR27" s="350" t="str">
        <f t="shared" si="5"/>
        <v>Grupo A</v>
      </c>
      <c r="AS27" s="351" t="str">
        <f t="shared" si="5"/>
        <v>Grupo A</v>
      </c>
      <c r="AT27" s="223" t="str">
        <f>IF(COUNT($M$24:$M$25)&lt;2,"",IF($M$24&gt;$M$25,"V",IF($M$24&lt;$M$25,"D","Empate??")))</f>
        <v/>
      </c>
      <c r="AU27" s="224" t="str">
        <f>IF(COUNT($M$24:$M$25)&lt;2,"",$M$24)</f>
        <v/>
      </c>
      <c r="AV27" s="225" t="str">
        <f>IF(COUNT($M$24:$M$25)&lt;2,"",$M$25)</f>
        <v/>
      </c>
      <c r="AW27" s="226" t="str">
        <f t="shared" si="3"/>
        <v/>
      </c>
      <c r="AX27" s="225" t="str">
        <f>IF(COUNT($M$24:$M$25)&lt;2,"",SUM($N$24:$P$24))</f>
        <v/>
      </c>
      <c r="AY27" s="227" t="str">
        <f>IF(COUNT($M$24:$M$25)&lt;2,"",SUM($N$25:$P$25))</f>
        <v/>
      </c>
      <c r="AZ27" s="228" t="str">
        <f t="shared" si="2"/>
        <v/>
      </c>
    </row>
    <row r="28" spans="2:52" ht="15.75" customHeight="1" thickBot="1">
      <c r="B28" s="126"/>
      <c r="C28" s="383" t="s">
        <v>71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0"/>
      <c r="R28" s="31"/>
      <c r="S28" s="32"/>
      <c r="T28" s="33"/>
      <c r="U28" s="32"/>
      <c r="V28" s="32"/>
      <c r="W28" s="32"/>
      <c r="X28" s="30"/>
      <c r="Y28" s="31"/>
      <c r="Z28" s="32"/>
      <c r="AA28" s="33"/>
      <c r="AB28" s="32"/>
      <c r="AC28" s="32"/>
      <c r="AD28" s="32"/>
      <c r="AE28" s="113"/>
      <c r="AG28" s="403"/>
      <c r="AH28" s="404"/>
      <c r="AI28" s="407"/>
      <c r="AJ28" s="408"/>
      <c r="AN28" s="205">
        <f>IF($J24="","",$J24)</f>
        <v>19</v>
      </c>
      <c r="AO28" s="206" t="str">
        <f t="shared" si="4"/>
        <v>Grupo B</v>
      </c>
      <c r="AP28" s="346" t="str">
        <f>IF($K$25="","",$K$25)</f>
        <v/>
      </c>
      <c r="AQ28" s="347" t="str">
        <f t="shared" si="5"/>
        <v>Grupo A</v>
      </c>
      <c r="AR28" s="347" t="str">
        <f t="shared" si="5"/>
        <v>Grupo A</v>
      </c>
      <c r="AS28" s="348" t="str">
        <f t="shared" si="5"/>
        <v>Grupo A</v>
      </c>
      <c r="AT28" s="207" t="str">
        <f>IF(COUNT($M$24:$M$25)&lt;2,"",IF($M$24&lt;$M$25,"V",IF($M$24&gt;$M$25,"D","Empate??")))</f>
        <v/>
      </c>
      <c r="AU28" s="208" t="str">
        <f>IF(COUNT($M$24:$M$25)&lt;2,"",$M$25)</f>
        <v/>
      </c>
      <c r="AV28" s="209" t="str">
        <f>IF(COUNT($M$24:$M$25)&lt;2,"",$M$24)</f>
        <v/>
      </c>
      <c r="AW28" s="210" t="str">
        <f t="shared" si="3"/>
        <v/>
      </c>
      <c r="AX28" s="209" t="str">
        <f>IF(COUNT($M$24:$M$25)&lt;2,"",SUM($N$25:$P$25))</f>
        <v/>
      </c>
      <c r="AY28" s="211" t="str">
        <f>IF(COUNT($M$24:$M$25)&lt;2,"",SUM($N$24:$P$24))</f>
        <v/>
      </c>
      <c r="AZ28" s="212" t="str">
        <f t="shared" si="2"/>
        <v/>
      </c>
    </row>
    <row r="29" spans="2:52" ht="15" hidden="1" customHeight="1">
      <c r="B29" s="125"/>
      <c r="C29" s="167"/>
      <c r="D29" s="61"/>
      <c r="E29" s="61"/>
      <c r="F29" s="167"/>
      <c r="G29" s="167"/>
      <c r="H29" s="167"/>
      <c r="I29" s="61"/>
      <c r="J29" s="167"/>
      <c r="K29" s="259"/>
      <c r="L29" s="61"/>
      <c r="M29" s="61"/>
      <c r="N29" s="61"/>
      <c r="O29" s="61"/>
      <c r="P29" s="61"/>
      <c r="Q29" s="167"/>
      <c r="R29" s="61"/>
      <c r="S29" s="61"/>
      <c r="T29" s="61"/>
      <c r="U29" s="61"/>
      <c r="V29" s="61"/>
      <c r="W29" s="61"/>
      <c r="X29" s="167"/>
      <c r="Y29" s="337" t="s">
        <v>0</v>
      </c>
      <c r="Z29" s="338"/>
      <c r="AA29" s="338"/>
      <c r="AB29" s="338"/>
      <c r="AC29" s="338"/>
      <c r="AD29" s="339"/>
      <c r="AE29" s="3"/>
      <c r="AG29" s="384" t="s">
        <v>47</v>
      </c>
      <c r="AH29" s="384"/>
      <c r="AI29" s="384"/>
      <c r="AJ29" s="384"/>
      <c r="AN29" s="221">
        <f>IF($J26="","",$J26)</f>
        <v>20</v>
      </c>
      <c r="AO29" s="222" t="str">
        <f t="shared" si="4"/>
        <v>Grupo B</v>
      </c>
      <c r="AP29" s="349" t="str">
        <f>IF($K$26="","",$K$26)</f>
        <v/>
      </c>
      <c r="AQ29" s="350" t="str">
        <f t="shared" si="5"/>
        <v>Grupo A</v>
      </c>
      <c r="AR29" s="350" t="str">
        <f t="shared" si="5"/>
        <v>Grupo A</v>
      </c>
      <c r="AS29" s="351" t="str">
        <f t="shared" si="5"/>
        <v>Grupo A</v>
      </c>
      <c r="AT29" s="223" t="str">
        <f>IF(COUNT($M$26:$M$27)&lt;2,"",IF($M$26&gt;$M$27,"V",IF($M$26&lt;$M$27,"D","Empate??")))</f>
        <v/>
      </c>
      <c r="AU29" s="224" t="str">
        <f>IF(COUNT($M$26:$M$27)&lt;2,"",$M$26)</f>
        <v/>
      </c>
      <c r="AV29" s="225" t="str">
        <f>IF(COUNT($M$26:$M$27)&lt;2,"",$M$27)</f>
        <v/>
      </c>
      <c r="AW29" s="226" t="str">
        <f t="shared" si="3"/>
        <v/>
      </c>
      <c r="AX29" s="225" t="str">
        <f>IF(COUNT($M$26:$M$27)&lt;2,"",SUM($N$26:$P$26))</f>
        <v/>
      </c>
      <c r="AY29" s="227" t="str">
        <f>IF(COUNT($M$26:$M$27)&lt;2,"",SUM($N$27:$P$27))</f>
        <v/>
      </c>
      <c r="AZ29" s="228" t="str">
        <f t="shared" si="2"/>
        <v/>
      </c>
    </row>
    <row r="30" spans="2:52" ht="15.75" hidden="1" customHeight="1" thickBot="1">
      <c r="B30" s="126"/>
      <c r="C30" s="317" t="str">
        <f>IF(D12="","1º do grupo A",D12)</f>
        <v>1º do grupo A</v>
      </c>
      <c r="D30" s="318"/>
      <c r="E30" s="69"/>
      <c r="F30" s="69"/>
      <c r="G30" s="70"/>
      <c r="H30" s="35" t="str">
        <f>IF(COUNT(E30:G30)&lt;1,"",IF(SUM(IF(E30&gt;E32,1,0),IF(F30&gt;F32,1,0),IF(G30&gt;G32,1,0))&gt;2,"??",SUM(IF(E30&gt;E32,1,0),IF(F30&gt;F32,1,0),IF(G30&gt;G32,1,0))))</f>
        <v/>
      </c>
      <c r="I30" s="36"/>
      <c r="J30" s="40"/>
      <c r="K30" s="55"/>
      <c r="L30" s="55"/>
      <c r="M30" s="55"/>
      <c r="N30" s="55"/>
      <c r="O30" s="55"/>
      <c r="P30" s="55"/>
      <c r="Q30" s="40"/>
      <c r="R30" s="55"/>
      <c r="S30" s="55"/>
      <c r="T30" s="55"/>
      <c r="U30" s="55"/>
      <c r="V30" s="55"/>
      <c r="W30" s="54"/>
      <c r="X30" s="68"/>
      <c r="Y30" s="340"/>
      <c r="Z30" s="341"/>
      <c r="AA30" s="341"/>
      <c r="AB30" s="341"/>
      <c r="AC30" s="341"/>
      <c r="AD30" s="342"/>
      <c r="AE30" s="113"/>
      <c r="AG30" s="385"/>
      <c r="AH30" s="385"/>
      <c r="AI30" s="385"/>
      <c r="AJ30" s="385"/>
      <c r="AN30" s="229">
        <f>IF($J26="","",$J26)</f>
        <v>20</v>
      </c>
      <c r="AO30" s="230" t="str">
        <f t="shared" si="4"/>
        <v>Grupo B</v>
      </c>
      <c r="AP30" s="354" t="str">
        <f>IF($K$27="","",$K$27)</f>
        <v>Patrícia Silva (DSRAlentejo)</v>
      </c>
      <c r="AQ30" s="355" t="str">
        <f t="shared" si="5"/>
        <v>Grupo A</v>
      </c>
      <c r="AR30" s="355" t="str">
        <f t="shared" si="5"/>
        <v>Grupo A</v>
      </c>
      <c r="AS30" s="356" t="str">
        <f t="shared" si="5"/>
        <v>Grupo A</v>
      </c>
      <c r="AT30" s="231" t="str">
        <f>IF(COUNT($M$26:$M$27)&lt;2,"",IF($M$26&lt;$M$27,"V",IF($M$26&gt;$M$27,"D","Empate??")))</f>
        <v/>
      </c>
      <c r="AU30" s="232" t="str">
        <f>IF(COUNT($M$26:$M$27)&lt;2,"",$M$27)</f>
        <v/>
      </c>
      <c r="AV30" s="233" t="str">
        <f>IF(COUNT($M$26:$M$27)&lt;2,"",$M$26)</f>
        <v/>
      </c>
      <c r="AW30" s="234" t="str">
        <f t="shared" si="3"/>
        <v/>
      </c>
      <c r="AX30" s="233" t="str">
        <f>IF(COUNT($M$26:$M$27)&lt;2,"",SUM($N$27:$P$27))</f>
        <v/>
      </c>
      <c r="AY30" s="235" t="str">
        <f>IF(COUNT($M$26:$M$27)&lt;2,"",SUM($N$26:$P$26))</f>
        <v/>
      </c>
      <c r="AZ30" s="236" t="str">
        <f t="shared" si="2"/>
        <v/>
      </c>
    </row>
    <row r="31" spans="2:52" ht="15.75" hidden="1" customHeight="1">
      <c r="B31" s="126"/>
      <c r="C31" s="68"/>
      <c r="D31" s="37"/>
      <c r="E31" s="41"/>
      <c r="F31" s="41"/>
      <c r="G31" s="62"/>
      <c r="H31" s="64">
        <v>25</v>
      </c>
      <c r="I31" s="386" t="str">
        <f>IF(OR(H30="",H32="")=TRUE,"1ª Meia Final-Jogador1",IF(H30&gt;H32,C30,C32))</f>
        <v>1ª Meia Final-Jogador1</v>
      </c>
      <c r="J31" s="387"/>
      <c r="K31" s="388"/>
      <c r="L31" s="69"/>
      <c r="M31" s="69"/>
      <c r="N31" s="70"/>
      <c r="O31" s="38" t="str">
        <f>IF(COUNT(L31:N31)&lt;1,"",IF(SUM(IF(L31&gt;L35,1,0),IF(M31&gt;M35,1,0),IF(N31&gt;N35,1,0))&gt;2,"??",SUM(IF(L31&gt;L35,1,0),IF(M31&gt;M35,1,0),IF(N31&gt;N35,1,0))))</f>
        <v/>
      </c>
      <c r="P31" s="55"/>
      <c r="Q31" s="40"/>
      <c r="R31" s="55"/>
      <c r="S31" s="55"/>
      <c r="T31" s="55"/>
      <c r="U31" s="55"/>
      <c r="V31" s="55"/>
      <c r="W31" s="54"/>
      <c r="X31" s="68"/>
      <c r="Y31" s="389" t="str">
        <f>IF(X37="1º Classificado","",X37)</f>
        <v/>
      </c>
      <c r="Z31" s="390"/>
      <c r="AA31" s="390"/>
      <c r="AB31" s="390"/>
      <c r="AC31" s="390"/>
      <c r="AD31" s="39" t="s">
        <v>1</v>
      </c>
      <c r="AE31" s="113"/>
      <c r="AG31" s="385"/>
      <c r="AH31" s="385"/>
      <c r="AI31" s="385"/>
      <c r="AJ31" s="385"/>
      <c r="AN31" s="173">
        <f>IF($Q16="","",$Q16)</f>
        <v>5</v>
      </c>
      <c r="AO31" s="174" t="str">
        <f>IF($Q$5="","",$Q$5)</f>
        <v>Grupo C</v>
      </c>
      <c r="AP31" s="376" t="str">
        <f>IF($R$16="","",$R$16)</f>
        <v>Nara Silva (DSRAlgarve)</v>
      </c>
      <c r="AQ31" s="377" t="str">
        <f t="shared" si="5"/>
        <v>Grupo A</v>
      </c>
      <c r="AR31" s="377" t="str">
        <f t="shared" si="5"/>
        <v>Grupo A</v>
      </c>
      <c r="AS31" s="378" t="str">
        <f t="shared" si="5"/>
        <v>Grupo A</v>
      </c>
      <c r="AT31" s="176" t="str">
        <f>IF(COUNT($T$16:$T$17)&lt;2,"",IF($T$16&gt;$T$17,"V",IF($T$16&lt;$T$17,"D","Empate??")))</f>
        <v/>
      </c>
      <c r="AU31" s="177" t="str">
        <f>IF(COUNT($T$16:$T$17)&lt;2,"",$T$16)</f>
        <v/>
      </c>
      <c r="AV31" s="178" t="str">
        <f>IF(COUNT($T$16:$T$17)&lt;2,"",$T$17)</f>
        <v/>
      </c>
      <c r="AW31" s="179" t="str">
        <f t="shared" si="3"/>
        <v/>
      </c>
      <c r="AX31" s="178" t="str">
        <f>IF(COUNT($T$16:$T$17)&lt;2,"",SUM($U$16:$W$16))</f>
        <v/>
      </c>
      <c r="AY31" s="180" t="str">
        <f>IF(COUNT($T$16:$T$17)&lt;2,"",SUM($U$17:$W$17))</f>
        <v/>
      </c>
      <c r="AZ31" s="181" t="str">
        <f t="shared" si="2"/>
        <v/>
      </c>
    </row>
    <row r="32" spans="2:52" ht="15.75" hidden="1" customHeight="1">
      <c r="B32" s="126"/>
      <c r="C32" s="317" t="str">
        <f>IF(K13="","2º do grupo B",K13)</f>
        <v>2º do grupo B</v>
      </c>
      <c r="D32" s="318"/>
      <c r="E32" s="69"/>
      <c r="F32" s="69"/>
      <c r="G32" s="70"/>
      <c r="H32" s="35" t="str">
        <f>IF(COUNT(E32:G32)&lt;1,"",IF(SUM(IF(E30&lt;E32,1,0),IF(F30&lt;F32,1,0),IF(G30&lt;G32,1,0))&gt;2,"??",SUM(IF(E30&lt;E32,1,0),IF(F30&lt;F32,1,0),IF(G30&lt;G32,1,0))))</f>
        <v/>
      </c>
      <c r="I32" s="36"/>
      <c r="J32" s="40"/>
      <c r="K32" s="59"/>
      <c r="L32" s="55"/>
      <c r="M32" s="41"/>
      <c r="N32" s="41"/>
      <c r="O32" s="42"/>
      <c r="P32" s="36"/>
      <c r="Q32" s="40"/>
      <c r="R32" s="55"/>
      <c r="S32" s="55"/>
      <c r="T32" s="55"/>
      <c r="U32" s="55"/>
      <c r="V32" s="60"/>
      <c r="W32" s="53"/>
      <c r="X32" s="48"/>
      <c r="Y32" s="379" t="str">
        <f>IF(Y31="","",IF(Y31=P33,P41,P33))</f>
        <v/>
      </c>
      <c r="Z32" s="380" t="e">
        <f>IF(#REF!="","",IF(#REF!=W32,"","(2º) "))</f>
        <v>#REF!</v>
      </c>
      <c r="AA32" s="380" t="e">
        <f>IF(#REF!="","",IF(#REF!=X32,"","(2º) "))</f>
        <v>#REF!</v>
      </c>
      <c r="AB32" s="380" t="e">
        <f>IF(#REF!="","",IF(#REF!=Y32,"","(2º) "))</f>
        <v>#REF!</v>
      </c>
      <c r="AC32" s="380" t="e">
        <f>IF(#REF!="","",IF(#REF!=Z32,"","(2º) "))</f>
        <v>#REF!</v>
      </c>
      <c r="AD32" s="43" t="s">
        <v>2</v>
      </c>
      <c r="AE32" s="113"/>
      <c r="AN32" s="182">
        <f>IF($Q16="","",$Q16)</f>
        <v>5</v>
      </c>
      <c r="AO32" s="171" t="str">
        <f t="shared" ref="AO32:AO42" si="6">IF($Q$5="","",$Q$5)</f>
        <v>Grupo C</v>
      </c>
      <c r="AP32" s="367" t="str">
        <f>IF($R$17="","",$R$17)</f>
        <v/>
      </c>
      <c r="AQ32" s="368" t="str">
        <f t="shared" si="5"/>
        <v>Grupo A</v>
      </c>
      <c r="AR32" s="368" t="str">
        <f t="shared" si="5"/>
        <v>Grupo A</v>
      </c>
      <c r="AS32" s="369" t="str">
        <f t="shared" si="5"/>
        <v>Grupo A</v>
      </c>
      <c r="AT32" s="183" t="str">
        <f>IF(COUNT($T$16:$T$17)&lt;2,"",IF($T$16&lt;$T$17,"V",IF($T$16&gt;$T$17,"D","Empate??")))</f>
        <v/>
      </c>
      <c r="AU32" s="184" t="str">
        <f>IF(COUNT($T$16:$T$17)&lt;2,"",$T$17)</f>
        <v/>
      </c>
      <c r="AV32" s="185" t="str">
        <f>IF(COUNT($T$16:$T$17)&lt;2,"",$T$16)</f>
        <v/>
      </c>
      <c r="AW32" s="186" t="str">
        <f t="shared" si="3"/>
        <v/>
      </c>
      <c r="AX32" s="185" t="str">
        <f>IF(COUNT($T$16:$T$17)&lt;2,"",SUM($U$17:$W$17))</f>
        <v/>
      </c>
      <c r="AY32" s="187" t="str">
        <f>IF(COUNT($T$16:$T$17)&lt;2,"",SUM($U$16:$W$16))</f>
        <v/>
      </c>
      <c r="AZ32" s="188" t="str">
        <f t="shared" si="2"/>
        <v/>
      </c>
    </row>
    <row r="33" spans="2:52" ht="15.75" hidden="1" customHeight="1">
      <c r="B33" s="126"/>
      <c r="C33" s="68"/>
      <c r="D33" s="37"/>
      <c r="E33" s="55"/>
      <c r="F33" s="42"/>
      <c r="G33" s="44"/>
      <c r="H33" s="44"/>
      <c r="I33" s="55"/>
      <c r="J33" s="40"/>
      <c r="K33" s="59"/>
      <c r="L33" s="55"/>
      <c r="M33" s="42"/>
      <c r="N33" s="42"/>
      <c r="O33" s="64">
        <v>29</v>
      </c>
      <c r="P33" s="322" t="str">
        <f>IF(OR(O31="",O35="")=TRUE,"Final-Jogador1",IF(O31&gt;O35,I31,I35))</f>
        <v>Final-Jogador1</v>
      </c>
      <c r="Q33" s="317"/>
      <c r="R33" s="317"/>
      <c r="S33" s="318"/>
      <c r="T33" s="69"/>
      <c r="U33" s="69"/>
      <c r="V33" s="69"/>
      <c r="W33" s="45" t="str">
        <f>IF(COUNT(T33:V33)&lt;1,"",IF(SUM(IF(T33&gt;T41,1,0),IF(U33&gt;U41,1,0),IF(V33&gt;V41,1,0))&gt;2,"??",SUM(IF(T33&gt;T41,1,0),IF(U33&gt;U41,1,0),IF(V33&gt;V41,1,0))))</f>
        <v/>
      </c>
      <c r="X33" s="48"/>
      <c r="Y33" s="381" t="str">
        <f>IF(P37="3º Classificado","",P37)</f>
        <v/>
      </c>
      <c r="Z33" s="382"/>
      <c r="AA33" s="382"/>
      <c r="AB33" s="382"/>
      <c r="AC33" s="382"/>
      <c r="AD33" s="166" t="s">
        <v>3</v>
      </c>
      <c r="AE33" s="113"/>
      <c r="AN33" s="189">
        <f>IF($Q18="","",$Q18)</f>
        <v>6</v>
      </c>
      <c r="AO33" s="172" t="str">
        <f t="shared" si="6"/>
        <v>Grupo C</v>
      </c>
      <c r="AP33" s="364" t="str">
        <f>IF($R$18="","",$R$18)</f>
        <v>Mariana Eiras (DSRNorte)</v>
      </c>
      <c r="AQ33" s="365" t="str">
        <f t="shared" si="5"/>
        <v>Grupo A</v>
      </c>
      <c r="AR33" s="365" t="str">
        <f t="shared" si="5"/>
        <v>Grupo A</v>
      </c>
      <c r="AS33" s="366" t="str">
        <f t="shared" si="5"/>
        <v>Grupo A</v>
      </c>
      <c r="AT33" s="190" t="str">
        <f>IF(COUNT($T$18:$T$19)&lt;2,"",IF($T$18&gt;$T$19,"V",IF($T$18&lt;$T$19,"D","Empate??")))</f>
        <v/>
      </c>
      <c r="AU33" s="191" t="str">
        <f>IF(COUNT($T$18:$T$19)&lt;2,"",$T$18)</f>
        <v/>
      </c>
      <c r="AV33" s="192" t="str">
        <f>IF(COUNT($T$18:$T$19)&lt;2,"",$T$19)</f>
        <v/>
      </c>
      <c r="AW33" s="193" t="str">
        <f t="shared" si="3"/>
        <v/>
      </c>
      <c r="AX33" s="192" t="str">
        <f>IF(COUNT($T$18:$T$19)&lt;2,"",SUM($U$18:$W$18))</f>
        <v/>
      </c>
      <c r="AY33" s="194" t="str">
        <f>IF(COUNT($T$18:$T$19)&lt;2,"",SUM($U$19:$W$19))</f>
        <v/>
      </c>
      <c r="AZ33" s="195" t="str">
        <f t="shared" si="2"/>
        <v/>
      </c>
    </row>
    <row r="34" spans="2:52" ht="15.75" hidden="1" customHeight="1" thickBot="1">
      <c r="B34" s="126"/>
      <c r="C34" s="317" t="str">
        <f>IF(Y13="","2º do grupo D",Y13)</f>
        <v>2º do grupo D</v>
      </c>
      <c r="D34" s="318"/>
      <c r="E34" s="69"/>
      <c r="F34" s="69"/>
      <c r="G34" s="70"/>
      <c r="H34" s="35" t="str">
        <f>IF(COUNT(E34:G34)&lt;1,"",IF(SUM(IF(E34&gt;E36,1,0),IF(F34&gt;F36,1,0),IF(G34&gt;G36,1,0))&gt;2,"??",SUM(IF(E34&gt;E36,1,0),IF(F34&gt;F36,1,0),IF(G34&gt;G36,1,0))))</f>
        <v/>
      </c>
      <c r="I34" s="36"/>
      <c r="J34" s="40"/>
      <c r="K34" s="59"/>
      <c r="L34" s="55"/>
      <c r="M34" s="42"/>
      <c r="N34" s="42"/>
      <c r="O34" s="42"/>
      <c r="P34" s="36"/>
      <c r="Q34" s="40"/>
      <c r="R34" s="55"/>
      <c r="S34" s="46"/>
      <c r="T34" s="42"/>
      <c r="U34" s="42"/>
      <c r="V34" s="67"/>
      <c r="W34" s="47"/>
      <c r="X34" s="48"/>
      <c r="Y34" s="371" t="str">
        <f>IF(Y33="","",IF(Y33=P35,P39,P35))</f>
        <v/>
      </c>
      <c r="Z34" s="372" t="e">
        <f>IF(#REF!="","",IF(#REF!=W34,"","(2º) "))</f>
        <v>#REF!</v>
      </c>
      <c r="AA34" s="372" t="e">
        <f>IF(#REF!="","",IF(#REF!=X34,"","(2º) "))</f>
        <v>#REF!</v>
      </c>
      <c r="AB34" s="372" t="e">
        <f>IF(#REF!="","",IF(#REF!=Y34,"","(2º) "))</f>
        <v>#REF!</v>
      </c>
      <c r="AC34" s="372" t="e">
        <f>IF(#REF!="","",IF(#REF!=Z34,"","(2º) "))</f>
        <v>#REF!</v>
      </c>
      <c r="AD34" s="165" t="s">
        <v>4</v>
      </c>
      <c r="AE34" s="113"/>
      <c r="AN34" s="182">
        <f>IF($Q18="","",$Q18)</f>
        <v>6</v>
      </c>
      <c r="AO34" s="171" t="str">
        <f t="shared" si="6"/>
        <v>Grupo C</v>
      </c>
      <c r="AP34" s="367" t="str">
        <f>IF($R$19="","",$R$19)</f>
        <v>Filipa Pinto (DSRLisboa)</v>
      </c>
      <c r="AQ34" s="368" t="str">
        <f t="shared" si="5"/>
        <v>Grupo A</v>
      </c>
      <c r="AR34" s="368" t="str">
        <f t="shared" si="5"/>
        <v>Grupo A</v>
      </c>
      <c r="AS34" s="369" t="str">
        <f t="shared" si="5"/>
        <v>Grupo A</v>
      </c>
      <c r="AT34" s="183" t="str">
        <f>IF(COUNT($T$18:$T$19)&lt;2,"",IF($T$18&lt;$T$19,"V",IF($T$18&gt;$T$19,"D","Empate??")))</f>
        <v/>
      </c>
      <c r="AU34" s="184" t="str">
        <f>IF(COUNT($T$18:$T$19)&lt;2,"",$T$19)</f>
        <v/>
      </c>
      <c r="AV34" s="185" t="str">
        <f>IF(COUNT($T$18:$T$19)&lt;2,"",$T$18)</f>
        <v/>
      </c>
      <c r="AW34" s="186" t="str">
        <f t="shared" si="3"/>
        <v/>
      </c>
      <c r="AX34" s="185" t="str">
        <f>IF(COUNT($T$18:$T$19)&lt;2,"",SUM($U$19:$W$19))</f>
        <v/>
      </c>
      <c r="AY34" s="187" t="str">
        <f>IF(COUNT($T$18:$T$19)&lt;2,"",SUM($U$18:$W$18))</f>
        <v/>
      </c>
      <c r="AZ34" s="188" t="str">
        <f t="shared" si="2"/>
        <v/>
      </c>
    </row>
    <row r="35" spans="2:52" ht="15.75" hidden="1" customHeight="1">
      <c r="B35" s="126"/>
      <c r="C35" s="68"/>
      <c r="D35" s="37"/>
      <c r="E35" s="55"/>
      <c r="F35" s="42"/>
      <c r="G35" s="44"/>
      <c r="H35" s="63">
        <v>26</v>
      </c>
      <c r="I35" s="322" t="str">
        <f>IF(OR(H34="",H36="")=TRUE,"1ª Meia Final-Jogador2",IF(H34&gt;H36,C34,C36))</f>
        <v>1ª Meia Final-Jogador2</v>
      </c>
      <c r="J35" s="317"/>
      <c r="K35" s="318"/>
      <c r="L35" s="69"/>
      <c r="M35" s="69"/>
      <c r="N35" s="70"/>
      <c r="O35" s="38" t="str">
        <f>IF(COUNT(L35:N35)&lt;1,"",IF(SUM(IF(L31&lt;L35,1,0),IF(M31&lt;M35,1,0),IF(N31&lt;N35,1,0))&gt;2,"??",SUM(IF(L31&lt;L35,1,0),IF(M31&lt;M35,1,0),IF(N31&lt;N35,1,0))))</f>
        <v/>
      </c>
      <c r="P35" s="319" t="str">
        <f>IF(P33="Final-Jogador1","Disputa 3º/4º  Jogador1",IF(P33=I31,I35,I31))</f>
        <v>Disputa 3º/4º  Jogador1</v>
      </c>
      <c r="Q35" s="320"/>
      <c r="R35" s="321"/>
      <c r="S35" s="69"/>
      <c r="T35" s="69"/>
      <c r="U35" s="69"/>
      <c r="V35" s="49" t="str">
        <f>IF(COUNT(S35:U35)&lt;1,"",IF(SUM(IF(S35&gt;S39,1,0),IF(T35&gt;T39,1,0),IF(U35&gt;U39,1,0))&gt;2,"??",SUM(IF(S35&gt;S39,1,0),IF(T35&gt;T39,1,0),IF(U35&gt;U39,1,0))))</f>
        <v/>
      </c>
      <c r="W35" s="50"/>
      <c r="X35" s="48"/>
      <c r="Y35" s="53"/>
      <c r="Z35" s="53"/>
      <c r="AA35" s="53"/>
      <c r="AB35" s="53"/>
      <c r="AC35" s="53"/>
      <c r="AD35" s="54"/>
      <c r="AE35" s="113"/>
      <c r="AN35" s="189">
        <f>IF($Q20="","",$Q20)</f>
        <v>13</v>
      </c>
      <c r="AO35" s="172" t="str">
        <f t="shared" si="6"/>
        <v>Grupo C</v>
      </c>
      <c r="AP35" s="364" t="str">
        <f>IF($R$20="","",$R$20)</f>
        <v/>
      </c>
      <c r="AQ35" s="365" t="str">
        <f t="shared" si="5"/>
        <v>Grupo A</v>
      </c>
      <c r="AR35" s="365" t="str">
        <f t="shared" si="5"/>
        <v>Grupo A</v>
      </c>
      <c r="AS35" s="366" t="str">
        <f t="shared" si="5"/>
        <v>Grupo A</v>
      </c>
      <c r="AT35" s="190" t="str">
        <f>IF(COUNT($T$20:$T$21)&lt;2,"",IF($T$20&gt;$T$21,"V",IF($T$20&lt;$T$21,"D","Empate??")))</f>
        <v/>
      </c>
      <c r="AU35" s="191" t="str">
        <f>IF(COUNT($T$20:$T$21)&lt;2,"",$T$20)</f>
        <v/>
      </c>
      <c r="AV35" s="192" t="str">
        <f>IF(COUNT($T$20:$T$21)&lt;2,"",$T$21)</f>
        <v/>
      </c>
      <c r="AW35" s="193" t="str">
        <f t="shared" si="3"/>
        <v/>
      </c>
      <c r="AX35" s="192" t="str">
        <f>IF(COUNT($T$20:$T$21)&lt;2,"",SUM($U$20:$W$20))</f>
        <v/>
      </c>
      <c r="AY35" s="194" t="str">
        <f>IF(COUNT($T$20:$T$21)&lt;2,"",SUM($U$21:$W$21))</f>
        <v/>
      </c>
      <c r="AZ35" s="195" t="str">
        <f t="shared" si="2"/>
        <v/>
      </c>
    </row>
    <row r="36" spans="2:52" ht="15.75" hidden="1" customHeight="1">
      <c r="B36" s="126"/>
      <c r="C36" s="317" t="str">
        <f>IF(R12="","1º do grupo C",R12)</f>
        <v>1º do grupo C</v>
      </c>
      <c r="D36" s="318"/>
      <c r="E36" s="69"/>
      <c r="F36" s="69"/>
      <c r="G36" s="70"/>
      <c r="H36" s="35" t="str">
        <f>IF(COUNT(E36:G36)&lt;1,"",IF(SUM(IF(E34&lt;E36,1,0),IF(F34&lt;F36,1,0),IF(G34&lt;G36,1,0))&gt;2,"??",SUM(IF(E34&lt;E36,1,0),IF(F34&lt;F36,1,0),IF(G34&lt;G36,1,0))))</f>
        <v/>
      </c>
      <c r="I36" s="36"/>
      <c r="J36" s="40"/>
      <c r="K36" s="59"/>
      <c r="L36" s="46"/>
      <c r="M36" s="42"/>
      <c r="N36" s="42"/>
      <c r="O36" s="42"/>
      <c r="P36" s="55"/>
      <c r="Q36" s="51"/>
      <c r="R36" s="46"/>
      <c r="S36" s="46"/>
      <c r="T36" s="41"/>
      <c r="U36" s="41"/>
      <c r="V36" s="52"/>
      <c r="W36" s="50"/>
      <c r="X36" s="48"/>
      <c r="Y36" s="53"/>
      <c r="Z36" s="53"/>
      <c r="AA36" s="53"/>
      <c r="AB36" s="53"/>
      <c r="AC36" s="53"/>
      <c r="AD36" s="54"/>
      <c r="AE36" s="113"/>
      <c r="AN36" s="182">
        <f>IF($Q20="","",$Q20)</f>
        <v>13</v>
      </c>
      <c r="AO36" s="171" t="str">
        <f t="shared" si="6"/>
        <v>Grupo C</v>
      </c>
      <c r="AP36" s="367" t="str">
        <f>IF($R$21="","",$R$21)</f>
        <v>Filipa Pinto (DSRLisboa)</v>
      </c>
      <c r="AQ36" s="368" t="str">
        <f t="shared" si="5"/>
        <v>Grupo A</v>
      </c>
      <c r="AR36" s="368" t="str">
        <f t="shared" si="5"/>
        <v>Grupo A</v>
      </c>
      <c r="AS36" s="369" t="str">
        <f t="shared" si="5"/>
        <v>Grupo A</v>
      </c>
      <c r="AT36" s="183" t="str">
        <f>IF(COUNT($T$20:$T$21)&lt;2,"",IF($T$20&lt;$T$21,"V",IF($T$20&gt;$T$21,"D","Empate??")))</f>
        <v/>
      </c>
      <c r="AU36" s="184" t="str">
        <f>IF(COUNT($T$20:$T$21)&lt;2,"",$T$21)</f>
        <v/>
      </c>
      <c r="AV36" s="185" t="str">
        <f>IF(COUNT($T$20:$T$21)&lt;2,"",$T$20)</f>
        <v/>
      </c>
      <c r="AW36" s="186" t="str">
        <f t="shared" si="3"/>
        <v/>
      </c>
      <c r="AX36" s="185" t="str">
        <f>IF(COUNT($T$20:$T$21)&lt;2,"",SUM($U$21:$W$21))</f>
        <v/>
      </c>
      <c r="AY36" s="187" t="str">
        <f>IF(COUNT($T$20:$T$21)&lt;2,"",SUM($U$20:$W$20))</f>
        <v/>
      </c>
      <c r="AZ36" s="188" t="str">
        <f t="shared" si="2"/>
        <v/>
      </c>
    </row>
    <row r="37" spans="2:52" ht="27" hidden="1" customHeight="1">
      <c r="B37" s="126"/>
      <c r="C37" s="127" t="s">
        <v>72</v>
      </c>
      <c r="D37" s="71"/>
      <c r="E37" s="118"/>
      <c r="F37" s="118"/>
      <c r="G37" s="119"/>
      <c r="H37" s="120"/>
      <c r="I37" s="55"/>
      <c r="J37" s="40"/>
      <c r="K37" s="59"/>
      <c r="L37" s="55"/>
      <c r="M37" s="42"/>
      <c r="N37" s="42"/>
      <c r="O37" s="42"/>
      <c r="P37" s="328" t="str">
        <f>IF(OR(V35="",V39="")=TRUE,"3º Classificado",IF(V35&gt;V39,P35,P39))</f>
        <v>3º Classificado</v>
      </c>
      <c r="Q37" s="328"/>
      <c r="R37" s="328"/>
      <c r="S37" s="328"/>
      <c r="T37" s="328"/>
      <c r="U37" s="328"/>
      <c r="V37" s="65">
        <v>31</v>
      </c>
      <c r="W37" s="66">
        <v>32</v>
      </c>
      <c r="X37" s="329" t="str">
        <f>IF(OR(W33="",W41="")=TRUE,"1º Classificado",IF(W33&gt;W41,P33,P41))</f>
        <v>1º Classificado</v>
      </c>
      <c r="Y37" s="330"/>
      <c r="Z37" s="330"/>
      <c r="AA37" s="330"/>
      <c r="AB37" s="330"/>
      <c r="AC37" s="330"/>
      <c r="AD37" s="54"/>
      <c r="AE37" s="113"/>
      <c r="AN37" s="189">
        <f>IF($Q22="","",$Q22)</f>
        <v>14</v>
      </c>
      <c r="AO37" s="172" t="str">
        <f t="shared" si="6"/>
        <v>Grupo C</v>
      </c>
      <c r="AP37" s="364" t="str">
        <f>IF($R$22="","",$R$22)</f>
        <v>Nara Silva (DSRAlgarve)</v>
      </c>
      <c r="AQ37" s="365" t="str">
        <f t="shared" si="5"/>
        <v>Grupo A</v>
      </c>
      <c r="AR37" s="365" t="str">
        <f t="shared" si="5"/>
        <v>Grupo A</v>
      </c>
      <c r="AS37" s="366" t="str">
        <f t="shared" si="5"/>
        <v>Grupo A</v>
      </c>
      <c r="AT37" s="190" t="str">
        <f>IF(COUNT($T$22:$T$23)&lt;2,"",IF($T$22&gt;$T$23,"V",IF($T$22&lt;$T$23,"D","Empate??")))</f>
        <v/>
      </c>
      <c r="AU37" s="191" t="str">
        <f>IF(COUNT($T$22:$T$23)&lt;2,"",$T$22)</f>
        <v/>
      </c>
      <c r="AV37" s="192" t="str">
        <f>IF(COUNT($T$22:$T$23)&lt;2,"",$T$23)</f>
        <v/>
      </c>
      <c r="AW37" s="193" t="str">
        <f t="shared" si="3"/>
        <v/>
      </c>
      <c r="AX37" s="192" t="str">
        <f>IF(COUNT($T$22:$T$23)&lt;2,"",SUM($U$22:$W$22))</f>
        <v/>
      </c>
      <c r="AY37" s="194" t="str">
        <f>IF(COUNT($T$22:$T$23)&lt;2,"",SUM($U$23:$W$23))</f>
        <v/>
      </c>
      <c r="AZ37" s="195" t="str">
        <f t="shared" si="2"/>
        <v/>
      </c>
    </row>
    <row r="38" spans="2:52" ht="15.75" hidden="1" customHeight="1">
      <c r="B38" s="126"/>
      <c r="C38" s="317" t="str">
        <f>IF(K12="","1º do grupo B",K12)</f>
        <v>1º do grupo B</v>
      </c>
      <c r="D38" s="318"/>
      <c r="E38" s="69"/>
      <c r="F38" s="69"/>
      <c r="G38" s="70"/>
      <c r="H38" s="35" t="str">
        <f>IF(COUNT(E38:G38)&lt;1,"",IF(SUM(IF(E38&gt;E40,1,0),IF(F38&gt;F40,1,0),IF(G38&gt;G40,1,0))&gt;2,"??",SUM(IF(E38&gt;E40,1,0),IF(F38&gt;F40,1,0),IF(G38&gt;G40,1,0))))</f>
        <v/>
      </c>
      <c r="I38" s="36"/>
      <c r="J38" s="40"/>
      <c r="K38" s="59"/>
      <c r="L38" s="55"/>
      <c r="M38" s="42"/>
      <c r="N38" s="42"/>
      <c r="O38" s="42"/>
      <c r="P38" s="55"/>
      <c r="Q38" s="40"/>
      <c r="R38" s="55"/>
      <c r="S38" s="55"/>
      <c r="T38" s="42"/>
      <c r="U38" s="42"/>
      <c r="V38" s="56"/>
      <c r="W38" s="50"/>
      <c r="X38" s="48"/>
      <c r="Y38" s="370" t="s">
        <v>5</v>
      </c>
      <c r="Z38" s="370"/>
      <c r="AA38" s="370"/>
      <c r="AB38" s="370"/>
      <c r="AC38" s="370"/>
      <c r="AD38" s="54"/>
      <c r="AE38" s="113"/>
      <c r="AN38" s="182">
        <f>IF($Q22="","",$Q22)</f>
        <v>14</v>
      </c>
      <c r="AO38" s="171" t="str">
        <f t="shared" si="6"/>
        <v>Grupo C</v>
      </c>
      <c r="AP38" s="367" t="str">
        <f>IF($R$23="","",$R$23)</f>
        <v>Mariana Eiras (DSRNorte)</v>
      </c>
      <c r="AQ38" s="368" t="str">
        <f t="shared" si="5"/>
        <v>Grupo A</v>
      </c>
      <c r="AR38" s="368" t="str">
        <f t="shared" si="5"/>
        <v>Grupo A</v>
      </c>
      <c r="AS38" s="369" t="str">
        <f t="shared" si="5"/>
        <v>Grupo A</v>
      </c>
      <c r="AT38" s="183" t="str">
        <f>IF(COUNT($T$22:$T$23)&lt;2,"",IF($T$22&lt;$T$23,"V",IF($T$22&gt;$T$23,"D","Empate??")))</f>
        <v/>
      </c>
      <c r="AU38" s="184" t="str">
        <f>IF(COUNT($T$22:$T$23)&lt;2,"",$T$23)</f>
        <v/>
      </c>
      <c r="AV38" s="185" t="str">
        <f>IF(COUNT($T$22:$T$23)&lt;2,"",$T$22)</f>
        <v/>
      </c>
      <c r="AW38" s="186" t="str">
        <f t="shared" si="3"/>
        <v/>
      </c>
      <c r="AX38" s="185" t="str">
        <f>IF(COUNT($T$22:$T$23)&lt;2,"",SUM($U$23:$W$23))</f>
        <v/>
      </c>
      <c r="AY38" s="187" t="str">
        <f>IF(COUNT($T$22:$T$23)&lt;2,"",SUM($U$22:$W$22))</f>
        <v/>
      </c>
      <c r="AZ38" s="188" t="str">
        <f t="shared" si="2"/>
        <v/>
      </c>
    </row>
    <row r="39" spans="2:52" ht="15.75" hidden="1" customHeight="1">
      <c r="B39" s="126"/>
      <c r="C39" s="68"/>
      <c r="D39" s="37"/>
      <c r="E39" s="55"/>
      <c r="F39" s="41"/>
      <c r="G39" s="44"/>
      <c r="H39" s="63">
        <v>27</v>
      </c>
      <c r="I39" s="322" t="str">
        <f>IF(OR(H38="",H40="")=TRUE,"2ª Meia Final-Jogador1",IF(H38&gt;H40,C38,C40))</f>
        <v>2ª Meia Final-Jogador1</v>
      </c>
      <c r="J39" s="317"/>
      <c r="K39" s="318"/>
      <c r="L39" s="69"/>
      <c r="M39" s="69"/>
      <c r="N39" s="70"/>
      <c r="O39" s="38" t="str">
        <f>IF(COUNT(L39:N39)&lt;1,"",IF(SUM(IF(L39&gt;L43,1,0),IF(M39&gt;M43,1,0),IF(N39&gt;N43,1,0))&gt;2,"??",SUM(IF(L39&gt;L43,1,0),IF(M39&gt;M43,1,0),IF(N39&gt;N43,1,0))))</f>
        <v/>
      </c>
      <c r="P39" s="319" t="str">
        <f>IF(P41="Final-Jogador2","Disputa 3º/4º  Jogador2",IF(P41=I39,I43,I39))</f>
        <v>Disputa 3º/4º  Jogador2</v>
      </c>
      <c r="Q39" s="320"/>
      <c r="R39" s="321"/>
      <c r="S39" s="69"/>
      <c r="T39" s="69"/>
      <c r="U39" s="69"/>
      <c r="V39" s="49" t="str">
        <f>IF(COUNT(S39:U39)&lt;1,"",IF(SUM(IF(S35&lt;S39,1,0),IF(T35&lt;T39,1,0),IF(U35&lt;U39,1,0))&gt;2,"??",SUM(IF(S35&lt;S39,1,0),IF(T35&lt;T39,1,0),IF(U35&lt;U39,1,0))))</f>
        <v/>
      </c>
      <c r="W39" s="50"/>
      <c r="X39" s="48"/>
      <c r="Y39" s="53"/>
      <c r="Z39" s="53"/>
      <c r="AA39" s="53"/>
      <c r="AB39" s="57"/>
      <c r="AC39" s="57"/>
      <c r="AD39" s="58"/>
      <c r="AE39" s="113"/>
      <c r="AN39" s="189">
        <f>IF($Q24="","",$Q24)</f>
        <v>21</v>
      </c>
      <c r="AO39" s="172" t="str">
        <f t="shared" si="6"/>
        <v>Grupo C</v>
      </c>
      <c r="AP39" s="364" t="str">
        <f>IF($R$24="","",$R$24)</f>
        <v>Mariana Eiras (DSRNorte)</v>
      </c>
      <c r="AQ39" s="365" t="str">
        <f t="shared" ref="AQ39:AS54" si="7">IF($C$5="","",$C$5)</f>
        <v>Grupo A</v>
      </c>
      <c r="AR39" s="365" t="str">
        <f t="shared" si="7"/>
        <v>Grupo A</v>
      </c>
      <c r="AS39" s="366" t="str">
        <f t="shared" si="7"/>
        <v>Grupo A</v>
      </c>
      <c r="AT39" s="190" t="str">
        <f>IF(COUNT($T$24:$T$25)&lt;2,"",IF($T$24&gt;$T$25,"V",IF($T$24&lt;$T$25,"D","Empate??")))</f>
        <v/>
      </c>
      <c r="AU39" s="191" t="str">
        <f>IF(COUNT($T$24:$T$25)&lt;2,"",$T$24)</f>
        <v/>
      </c>
      <c r="AV39" s="192" t="str">
        <f>IF(COUNT($T$24:$T$25)&lt;2,"",$T$25)</f>
        <v/>
      </c>
      <c r="AW39" s="193" t="str">
        <f t="shared" si="3"/>
        <v/>
      </c>
      <c r="AX39" s="192" t="str">
        <f>IF(COUNT($T$24:$T$25)&lt;2,"",SUM($U$24:$W$24))</f>
        <v/>
      </c>
      <c r="AY39" s="194" t="str">
        <f>IF(COUNT($T$24:$T$25)&lt;2,"",SUM($U$25:$W$25))</f>
        <v/>
      </c>
      <c r="AZ39" s="195" t="str">
        <f t="shared" si="2"/>
        <v/>
      </c>
    </row>
    <row r="40" spans="2:52" ht="15.75" hidden="1" customHeight="1">
      <c r="B40" s="126"/>
      <c r="C40" s="317" t="str">
        <f>IF(D13="","2º do grupo A",D13)</f>
        <v>2º do grupo A</v>
      </c>
      <c r="D40" s="318"/>
      <c r="E40" s="69"/>
      <c r="F40" s="69"/>
      <c r="G40" s="70"/>
      <c r="H40" s="35" t="str">
        <f>IF(COUNT(E40:G40)&lt;1,"",IF(SUM(IF(E38&lt;E40,1,0),IF(F38&lt;F40,1,0),IF(G38&lt;G40,1,0))&gt;2,"??",SUM(IF(E38&lt;E40,1,0),IF(F38&lt;F40,1,0),IF(G38&lt;G40,1,0))))</f>
        <v/>
      </c>
      <c r="I40" s="36"/>
      <c r="J40" s="40"/>
      <c r="K40" s="59"/>
      <c r="L40" s="55"/>
      <c r="M40" s="41"/>
      <c r="N40" s="41"/>
      <c r="O40" s="42"/>
      <c r="P40" s="36"/>
      <c r="Q40" s="51"/>
      <c r="R40" s="46"/>
      <c r="S40" s="55"/>
      <c r="T40" s="42"/>
      <c r="U40" s="42"/>
      <c r="V40" s="67"/>
      <c r="W40" s="50"/>
      <c r="X40" s="48"/>
      <c r="Y40" s="53"/>
      <c r="Z40" s="53"/>
      <c r="AA40" s="53"/>
      <c r="AB40" s="53"/>
      <c r="AC40" s="53"/>
      <c r="AD40" s="54"/>
      <c r="AE40" s="113"/>
      <c r="AN40" s="182">
        <f>IF($Q24="","",$Q24)</f>
        <v>21</v>
      </c>
      <c r="AO40" s="171" t="str">
        <f t="shared" si="6"/>
        <v>Grupo C</v>
      </c>
      <c r="AP40" s="367" t="str">
        <f>IF($R$25="","",$R$25)</f>
        <v/>
      </c>
      <c r="AQ40" s="368" t="str">
        <f t="shared" si="7"/>
        <v>Grupo A</v>
      </c>
      <c r="AR40" s="368" t="str">
        <f t="shared" si="7"/>
        <v>Grupo A</v>
      </c>
      <c r="AS40" s="369" t="str">
        <f t="shared" si="7"/>
        <v>Grupo A</v>
      </c>
      <c r="AT40" s="183" t="str">
        <f>IF(COUNT($T$24:$T$25)&lt;2,"",IF($T$24&lt;$T$25,"V",IF($T$24&gt;$T$25,"D","Empate??")))</f>
        <v/>
      </c>
      <c r="AU40" s="184" t="str">
        <f>IF(COUNT($T$24:$T$25)&lt;2,"",$T$25)</f>
        <v/>
      </c>
      <c r="AV40" s="185" t="str">
        <f>IF(COUNT($T$24:$T$25)&lt;2,"",$T$24)</f>
        <v/>
      </c>
      <c r="AW40" s="186" t="str">
        <f t="shared" si="3"/>
        <v/>
      </c>
      <c r="AX40" s="185" t="str">
        <f>IF(COUNT($T$24:$T$25)&lt;2,"",SUM($U$25:$W$25))</f>
        <v/>
      </c>
      <c r="AY40" s="187" t="str">
        <f>IF(COUNT($T$24:$T$25)&lt;2,"",SUM($U$24:$W$24))</f>
        <v/>
      </c>
      <c r="AZ40" s="188" t="str">
        <f t="shared" si="2"/>
        <v/>
      </c>
    </row>
    <row r="41" spans="2:52" ht="15.75" hidden="1" customHeight="1">
      <c r="B41" s="126"/>
      <c r="C41" s="68"/>
      <c r="D41" s="37"/>
      <c r="E41" s="55"/>
      <c r="F41" s="42"/>
      <c r="G41" s="44"/>
      <c r="H41" s="121"/>
      <c r="I41" s="55"/>
      <c r="J41" s="40"/>
      <c r="K41" s="59"/>
      <c r="L41" s="55"/>
      <c r="M41" s="42"/>
      <c r="N41" s="42"/>
      <c r="O41" s="64">
        <v>30</v>
      </c>
      <c r="P41" s="322" t="str">
        <f>IF(OR(O39="",O43="")=TRUE,"Final-Jogador2",IF(O39&gt;O43,I39,I43))</f>
        <v>Final-Jogador2</v>
      </c>
      <c r="Q41" s="317"/>
      <c r="R41" s="317"/>
      <c r="S41" s="318"/>
      <c r="T41" s="69"/>
      <c r="U41" s="69"/>
      <c r="V41" s="69"/>
      <c r="W41" s="45" t="str">
        <f>IF(COUNT(T41:V41)&lt;1,"",IF(SUM(IF(T33&lt;T41,1,0),IF(U33&lt;U41,1,0),IF(V33&lt;V41,1,0))&gt;2,"??",SUM(IF(T33&lt;T41,1,0),IF(U33&lt;U41,1,0),IF(V33&lt;V41,1,0))))</f>
        <v/>
      </c>
      <c r="X41" s="48"/>
      <c r="Y41" s="53"/>
      <c r="Z41" s="53"/>
      <c r="AA41" s="53"/>
      <c r="AB41" s="53"/>
      <c r="AC41" s="53"/>
      <c r="AD41" s="54"/>
      <c r="AE41" s="113"/>
      <c r="AN41" s="189">
        <f>IF($Q26="","",$Q26)</f>
        <v>22</v>
      </c>
      <c r="AO41" s="172" t="str">
        <f t="shared" si="6"/>
        <v>Grupo C</v>
      </c>
      <c r="AP41" s="364" t="str">
        <f>IF($R$26="","",$R$26)</f>
        <v>Filipa Pinto (DSRLisboa)</v>
      </c>
      <c r="AQ41" s="365" t="str">
        <f t="shared" si="7"/>
        <v>Grupo A</v>
      </c>
      <c r="AR41" s="365" t="str">
        <f t="shared" si="7"/>
        <v>Grupo A</v>
      </c>
      <c r="AS41" s="366" t="str">
        <f t="shared" si="7"/>
        <v>Grupo A</v>
      </c>
      <c r="AT41" s="190" t="str">
        <f>IF(COUNT($T$26:$T$27)&lt;2,"",IF($T$26&gt;$T$27,"V",IF($T$26&lt;$T$27,"D","Empate??")))</f>
        <v/>
      </c>
      <c r="AU41" s="191" t="str">
        <f>IF(COUNT($T$26:$T$27)&lt;2,"",$T$26)</f>
        <v/>
      </c>
      <c r="AV41" s="192" t="str">
        <f>IF(COUNT($T$26:$T$27)&lt;2,"",$T$27)</f>
        <v/>
      </c>
      <c r="AW41" s="193" t="str">
        <f t="shared" si="3"/>
        <v/>
      </c>
      <c r="AX41" s="192" t="str">
        <f>IF(COUNT($T$26:$T$27)&lt;2,"",SUM($U$26:$W$26))</f>
        <v/>
      </c>
      <c r="AY41" s="194" t="str">
        <f>IF(COUNT($T$26:$T$27)&lt;2,"",SUM($U$27:$W$27))</f>
        <v/>
      </c>
      <c r="AZ41" s="195" t="str">
        <f t="shared" si="2"/>
        <v/>
      </c>
    </row>
    <row r="42" spans="2:52" ht="15.75" hidden="1" customHeight="1" thickBot="1">
      <c r="B42" s="126"/>
      <c r="C42" s="317" t="str">
        <f>IF(R13="","2º do grupo C",R13)</f>
        <v>2º do grupo C</v>
      </c>
      <c r="D42" s="318"/>
      <c r="E42" s="69"/>
      <c r="F42" s="69"/>
      <c r="G42" s="70"/>
      <c r="H42" s="35" t="str">
        <f>IF(COUNT(E42:G42)&lt;1,"",IF(SUM(IF(E42&gt;E44,1,0),IF(F42&gt;F44,1,0),IF(G42&gt;G44,1,0))&gt;2,"??",SUM(IF(E42&gt;E44,1,0),IF(F42&gt;F44,1,0),IF(G42&gt;G44,1,0))))</f>
        <v/>
      </c>
      <c r="I42" s="36"/>
      <c r="J42" s="40"/>
      <c r="K42" s="59"/>
      <c r="L42" s="55"/>
      <c r="M42" s="42"/>
      <c r="N42" s="42"/>
      <c r="O42" s="42"/>
      <c r="P42" s="36"/>
      <c r="Q42" s="40"/>
      <c r="R42" s="55"/>
      <c r="S42" s="46"/>
      <c r="T42" s="55"/>
      <c r="U42" s="55"/>
      <c r="V42" s="60"/>
      <c r="W42" s="53"/>
      <c r="X42" s="48"/>
      <c r="Y42" s="53"/>
      <c r="Z42" s="53"/>
      <c r="AA42" s="53"/>
      <c r="AB42" s="53"/>
      <c r="AC42" s="53"/>
      <c r="AD42" s="54"/>
      <c r="AE42" s="113"/>
      <c r="AN42" s="196">
        <f>IF($Q26="","",$Q26)</f>
        <v>22</v>
      </c>
      <c r="AO42" s="175" t="str">
        <f t="shared" si="6"/>
        <v>Grupo C</v>
      </c>
      <c r="AP42" s="358" t="str">
        <f>IF($R$27="","",$R$27)</f>
        <v>Nara Silva (DSRAlgarve)</v>
      </c>
      <c r="AQ42" s="359" t="str">
        <f t="shared" si="7"/>
        <v>Grupo A</v>
      </c>
      <c r="AR42" s="359" t="str">
        <f t="shared" si="7"/>
        <v>Grupo A</v>
      </c>
      <c r="AS42" s="360" t="str">
        <f t="shared" si="7"/>
        <v>Grupo A</v>
      </c>
      <c r="AT42" s="176" t="str">
        <f>IF(COUNT($T$26:$T$27)&lt;2,"",IF($T$26&lt;$T$27,"V",IF($T$26&gt;$T$27,"D","Empate??")))</f>
        <v/>
      </c>
      <c r="AU42" s="177" t="str">
        <f>IF(COUNT($T$26:$T$27)&lt;2,"",$T$27)</f>
        <v/>
      </c>
      <c r="AV42" s="178" t="str">
        <f>IF(COUNT($T$26:$T$27)&lt;2,"",$T$26)</f>
        <v/>
      </c>
      <c r="AW42" s="179" t="str">
        <f t="shared" si="3"/>
        <v/>
      </c>
      <c r="AX42" s="178" t="str">
        <f>IF(COUNT($T$26:$T$27)&lt;2,"",SUM($U$27:$W$27))</f>
        <v/>
      </c>
      <c r="AY42" s="180" t="str">
        <f>IF(COUNT($T$26:$T$27)&lt;2,"",SUM($U$26:$W$26))</f>
        <v/>
      </c>
      <c r="AZ42" s="181" t="str">
        <f t="shared" si="2"/>
        <v/>
      </c>
    </row>
    <row r="43" spans="2:52" ht="15.75" hidden="1" customHeight="1">
      <c r="B43" s="126"/>
      <c r="C43" s="68"/>
      <c r="D43" s="37"/>
      <c r="E43" s="55"/>
      <c r="F43" s="42"/>
      <c r="G43" s="44"/>
      <c r="H43" s="63">
        <v>28</v>
      </c>
      <c r="I43" s="322" t="str">
        <f>IF(OR(H42="",H44="")=TRUE,"2ª Meia Final-Jogador2",IF(H42&gt;H44,C42,C44))</f>
        <v>2ª Meia Final-Jogador2</v>
      </c>
      <c r="J43" s="317"/>
      <c r="K43" s="318"/>
      <c r="L43" s="69"/>
      <c r="M43" s="69"/>
      <c r="N43" s="70"/>
      <c r="O43" s="35" t="str">
        <f>IF(COUNT(L43:N43)&lt;1,"",IF(SUM(IF(L39&lt;L43,1,0),IF(M39&lt;M43,1,0),IF(N39&lt;N43,1,0))&gt;2,"??",SUM(IF(L39&lt;L43,1,0),IF(M39&lt;M43,1,0),IF(N39&lt;N43,1,0))))</f>
        <v/>
      </c>
      <c r="P43" s="36"/>
      <c r="Q43" s="40"/>
      <c r="R43" s="55"/>
      <c r="S43" s="55"/>
      <c r="T43" s="55"/>
      <c r="U43" s="55"/>
      <c r="V43" s="55"/>
      <c r="W43" s="54"/>
      <c r="X43" s="68"/>
      <c r="Y43" s="54"/>
      <c r="Z43" s="54"/>
      <c r="AA43" s="54"/>
      <c r="AB43" s="54"/>
      <c r="AC43" s="54"/>
      <c r="AD43" s="54"/>
      <c r="AE43" s="113"/>
      <c r="AN43" s="197">
        <f>IF($X16="","",$X16)</f>
        <v>7</v>
      </c>
      <c r="AO43" s="198" t="str">
        <f>IF($X$5="","",$X$5)</f>
        <v>Grupo D</v>
      </c>
      <c r="AP43" s="361" t="str">
        <f>IF($Y$16="","",$Y$16)</f>
        <v>Alexandra Alves (DSRCentro)</v>
      </c>
      <c r="AQ43" s="362" t="str">
        <f t="shared" si="7"/>
        <v>Grupo A</v>
      </c>
      <c r="AR43" s="362" t="str">
        <f t="shared" si="7"/>
        <v>Grupo A</v>
      </c>
      <c r="AS43" s="363" t="str">
        <f t="shared" si="7"/>
        <v>Grupo A</v>
      </c>
      <c r="AT43" s="199" t="str">
        <f>IF(COUNT($AA$16:$AA$17)&lt;2,"",IF($AA$16&gt;$AA$17,"V",IF($AA$16&lt;$AA$17,"D","Empate??")))</f>
        <v/>
      </c>
      <c r="AU43" s="200" t="str">
        <f>IF(COUNT($AA$16:$AA$17)&lt;2,"",$AA$16)</f>
        <v/>
      </c>
      <c r="AV43" s="201" t="str">
        <f>IF(COUNT($AA$16:$AA$17)&lt;2,"",$AA$17)</f>
        <v/>
      </c>
      <c r="AW43" s="202" t="str">
        <f t="shared" si="3"/>
        <v/>
      </c>
      <c r="AX43" s="201" t="str">
        <f>IF(COUNT($AA$16:$AA$17)&lt;2,"",SUM($AB$16:$AD$16))</f>
        <v/>
      </c>
      <c r="AY43" s="203" t="str">
        <f>IF(COUNT($AA$16:$AA$17)&lt;2,"",SUM($AB$17:$AD$17))</f>
        <v/>
      </c>
      <c r="AZ43" s="204" t="str">
        <f t="shared" si="2"/>
        <v/>
      </c>
    </row>
    <row r="44" spans="2:52" ht="15.75" hidden="1" customHeight="1">
      <c r="B44" s="126"/>
      <c r="C44" s="317" t="str">
        <f>IF(Y12="","1º do grupo D",Y12)</f>
        <v>1º do grupo D</v>
      </c>
      <c r="D44" s="318"/>
      <c r="E44" s="69"/>
      <c r="F44" s="69"/>
      <c r="G44" s="70"/>
      <c r="H44" s="35" t="str">
        <f>IF(COUNT(E44:G44)&lt;1,"",IF(SUM(IF(E42&lt;E44,1,0),IF(F42&lt;F44,1,0),IF(G42&lt;G44,1,0))&gt;2,"??",SUM(IF(E42&lt;E44,1,0),IF(F42&lt;F44,1,0),IF(G42&lt;G44,1,0))))</f>
        <v/>
      </c>
      <c r="I44" s="36"/>
      <c r="J44" s="40"/>
      <c r="K44" s="55"/>
      <c r="L44" s="46"/>
      <c r="M44" s="55"/>
      <c r="N44" s="55"/>
      <c r="O44" s="55"/>
      <c r="P44" s="55"/>
      <c r="Q44" s="40"/>
      <c r="R44" s="55"/>
      <c r="S44" s="55"/>
      <c r="T44" s="55"/>
      <c r="U44" s="55"/>
      <c r="V44" s="55"/>
      <c r="W44" s="54"/>
      <c r="X44" s="68"/>
      <c r="Y44" s="54"/>
      <c r="Z44" s="54"/>
      <c r="AA44" s="54"/>
      <c r="AB44" s="54"/>
      <c r="AC44" s="54"/>
      <c r="AD44" s="54"/>
      <c r="AE44" s="113"/>
      <c r="AN44" s="205">
        <f>IF($X16="","",$X16)</f>
        <v>7</v>
      </c>
      <c r="AO44" s="206" t="str">
        <f t="shared" ref="AO44:AO54" si="8">IF($X$5="","",$X$5)</f>
        <v>Grupo D</v>
      </c>
      <c r="AP44" s="346" t="str">
        <f>IF($Y$17="","",$Y$17)</f>
        <v/>
      </c>
      <c r="AQ44" s="347" t="str">
        <f t="shared" si="7"/>
        <v>Grupo A</v>
      </c>
      <c r="AR44" s="347" t="str">
        <f t="shared" si="7"/>
        <v>Grupo A</v>
      </c>
      <c r="AS44" s="348" t="str">
        <f t="shared" si="7"/>
        <v>Grupo A</v>
      </c>
      <c r="AT44" s="207" t="str">
        <f>IF(COUNT($AA$16:$AA$17)&lt;2,"",IF($AA$16&lt;$AA$17,"V",IF($AA$16&gt;$AA$17,"D","Empate??")))</f>
        <v/>
      </c>
      <c r="AU44" s="208" t="str">
        <f>IF(COUNT($AA$16:$AA$17)&lt;2,"",$AA$17)</f>
        <v/>
      </c>
      <c r="AV44" s="209" t="str">
        <f>IF(COUNT($AA$16:$AA$17)&lt;2,"",$AA$16)</f>
        <v/>
      </c>
      <c r="AW44" s="210" t="str">
        <f t="shared" si="3"/>
        <v/>
      </c>
      <c r="AX44" s="209" t="str">
        <f>IF(COUNT($AA$16:$AA$17)&lt;2,"",SUM($AB$17:$AD$17))</f>
        <v/>
      </c>
      <c r="AY44" s="211" t="str">
        <f>IF(COUNT($AA$16:$AA$17)&lt;2,"",SUM($AB$16:$AD$16))</f>
        <v/>
      </c>
      <c r="AZ44" s="212" t="str">
        <f t="shared" si="2"/>
        <v/>
      </c>
    </row>
    <row r="45" spans="2:52" ht="11.25" hidden="1" customHeight="1">
      <c r="B45" s="128"/>
      <c r="C45" s="123"/>
      <c r="D45" s="129"/>
      <c r="E45" s="122"/>
      <c r="F45" s="122"/>
      <c r="G45" s="122"/>
      <c r="H45" s="122"/>
      <c r="I45" s="122"/>
      <c r="J45" s="123"/>
      <c r="K45" s="122"/>
      <c r="L45" s="122"/>
      <c r="M45" s="122"/>
      <c r="N45" s="122"/>
      <c r="O45" s="122"/>
      <c r="P45" s="122"/>
      <c r="Q45" s="123"/>
      <c r="R45" s="122"/>
      <c r="S45" s="122"/>
      <c r="T45" s="122"/>
      <c r="U45" s="122"/>
      <c r="V45" s="122"/>
      <c r="W45" s="122"/>
      <c r="X45" s="123"/>
      <c r="Y45" s="122"/>
      <c r="Z45" s="122"/>
      <c r="AA45" s="122"/>
      <c r="AB45" s="122"/>
      <c r="AC45" s="122"/>
      <c r="AD45" s="122"/>
      <c r="AE45" s="124"/>
      <c r="AN45" s="213">
        <f>IF($X18="","",$X18)</f>
        <v>8</v>
      </c>
      <c r="AO45" s="214" t="str">
        <f t="shared" si="8"/>
        <v>Grupo D</v>
      </c>
      <c r="AP45" s="349" t="str">
        <f>IF($Y$18="","",$Y$18)</f>
        <v>Mariana Afonso (DSRLisboa)</v>
      </c>
      <c r="AQ45" s="350" t="str">
        <f t="shared" si="7"/>
        <v>Grupo A</v>
      </c>
      <c r="AR45" s="350" t="str">
        <f t="shared" si="7"/>
        <v>Grupo A</v>
      </c>
      <c r="AS45" s="351" t="str">
        <f t="shared" si="7"/>
        <v>Grupo A</v>
      </c>
      <c r="AT45" s="215" t="str">
        <f>IF(COUNT($AA$18:$AA$19)&lt;2,"",IF($AA$18&gt;$AA$19,"V",IF($AA$18&lt;$AA$19,"D","Empate??")))</f>
        <v/>
      </c>
      <c r="AU45" s="216" t="str">
        <f>IF(COUNT($AA$18:$AA$19)&lt;2,"",$AA$18)</f>
        <v/>
      </c>
      <c r="AV45" s="217" t="str">
        <f>IF(COUNT($AA$18:$AA$19)&lt;2,"",$AA$19)</f>
        <v/>
      </c>
      <c r="AW45" s="218" t="str">
        <f t="shared" si="3"/>
        <v/>
      </c>
      <c r="AX45" s="217" t="str">
        <f>IF(COUNT($AA$18:$AA$19)&lt;2,"",SUM($AB$18:$AD$18))</f>
        <v/>
      </c>
      <c r="AY45" s="219" t="str">
        <f>IF(COUNT($AA$18:$AA$19)&lt;2,"",SUM($AB$19:$AD$19))</f>
        <v/>
      </c>
      <c r="AZ45" s="220" t="str">
        <f t="shared" si="2"/>
        <v/>
      </c>
    </row>
    <row r="46" spans="2:52" ht="4.5" hidden="1" customHeight="1">
      <c r="AN46" s="205">
        <f>IF($X18="","",$X18)</f>
        <v>8</v>
      </c>
      <c r="AO46" s="206" t="str">
        <f t="shared" si="8"/>
        <v>Grupo D</v>
      </c>
      <c r="AP46" s="346" t="str">
        <f>IF($Y$19="","",$Y$19)</f>
        <v>Mariana Neves (DSRNorte)</v>
      </c>
      <c r="AQ46" s="347" t="str">
        <f t="shared" si="7"/>
        <v>Grupo A</v>
      </c>
      <c r="AR46" s="347" t="str">
        <f t="shared" si="7"/>
        <v>Grupo A</v>
      </c>
      <c r="AS46" s="348" t="str">
        <f t="shared" si="7"/>
        <v>Grupo A</v>
      </c>
      <c r="AT46" s="207" t="str">
        <f>IF(COUNT($AA$18:$AA$19)&lt;2,"",IF($AA$18&lt;$AA$19,"V",IF($AA$18&gt;$AA$19,"D","Empate??")))</f>
        <v/>
      </c>
      <c r="AU46" s="208" t="str">
        <f>IF(COUNT($AA$18:$AA$19)&lt;2,"",$AA$19)</f>
        <v/>
      </c>
      <c r="AV46" s="209" t="str">
        <f>IF(COUNT($AA$18:$AA$19)&lt;2,"",$AA$18)</f>
        <v/>
      </c>
      <c r="AW46" s="210" t="str">
        <f t="shared" si="3"/>
        <v/>
      </c>
      <c r="AX46" s="209" t="str">
        <f>IF(COUNT($AA$18:$AA$19)&lt;2,"",SUM($AB$19:$AD$19))</f>
        <v/>
      </c>
      <c r="AY46" s="211" t="str">
        <f>IF(COUNT($AA$18:$AA$19)&lt;2,"",SUM($AB$18:$AD$18))</f>
        <v/>
      </c>
      <c r="AZ46" s="212" t="str">
        <f t="shared" si="2"/>
        <v/>
      </c>
    </row>
    <row r="47" spans="2:52" ht="13.5" hidden="1" thickBot="1">
      <c r="D47" s="54"/>
      <c r="H47" s="125"/>
      <c r="I47" s="61"/>
      <c r="J47" s="167"/>
      <c r="K47" s="61"/>
      <c r="L47" s="61"/>
      <c r="M47" s="61"/>
      <c r="N47" s="61"/>
      <c r="O47" s="61"/>
      <c r="P47" s="61"/>
      <c r="Q47" s="167"/>
      <c r="R47" s="61"/>
      <c r="S47" s="61"/>
      <c r="T47" s="61"/>
      <c r="U47" s="61"/>
      <c r="V47" s="61"/>
      <c r="W47" s="61"/>
      <c r="X47" s="167"/>
      <c r="Y47" s="61"/>
      <c r="Z47" s="61"/>
      <c r="AA47" s="61"/>
      <c r="AB47" s="61"/>
      <c r="AC47" s="61"/>
      <c r="AD47" s="61"/>
      <c r="AE47" s="3"/>
      <c r="AN47" s="221">
        <f>IF($X20="","",$X20)</f>
        <v>15</v>
      </c>
      <c r="AO47" s="222" t="str">
        <f t="shared" si="8"/>
        <v>Grupo D</v>
      </c>
      <c r="AP47" s="349" t="str">
        <f>IF($Y$20="","",$Y$20)</f>
        <v/>
      </c>
      <c r="AQ47" s="350" t="str">
        <f t="shared" si="7"/>
        <v>Grupo A</v>
      </c>
      <c r="AR47" s="350" t="str">
        <f t="shared" si="7"/>
        <v>Grupo A</v>
      </c>
      <c r="AS47" s="351" t="str">
        <f t="shared" si="7"/>
        <v>Grupo A</v>
      </c>
      <c r="AT47" s="223" t="str">
        <f>IF(COUNT($AA$20:$AA$21)&lt;2,"",IF($AA$20&gt;$AA$21,"V",IF($AA$20&lt;$AA$21,"D","Empate??")))</f>
        <v/>
      </c>
      <c r="AU47" s="224" t="str">
        <f>IF(COUNT($AA$20:$AA$21)&lt;2,"",$AA$20)</f>
        <v/>
      </c>
      <c r="AV47" s="225" t="str">
        <f>IF(COUNT($AA$20:$AA$21)&lt;2,"",$AA$21)</f>
        <v/>
      </c>
      <c r="AW47" s="226" t="str">
        <f t="shared" si="3"/>
        <v/>
      </c>
      <c r="AX47" s="225" t="str">
        <f>IF(COUNT($AA$20:$AA$21)&lt;2,"",SUM($AB$20:$AD$20))</f>
        <v/>
      </c>
      <c r="AY47" s="227" t="str">
        <f>IF(COUNT($AA$20:$AA$21)&lt;2,"",SUM($AB$21:$AD$21))</f>
        <v/>
      </c>
      <c r="AZ47" s="228" t="str">
        <f t="shared" si="2"/>
        <v/>
      </c>
    </row>
    <row r="48" spans="2:52" hidden="1">
      <c r="D48" s="54"/>
      <c r="H48" s="126"/>
      <c r="I48" s="336" t="s">
        <v>49</v>
      </c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68"/>
      <c r="Y48" s="337" t="s">
        <v>0</v>
      </c>
      <c r="Z48" s="338"/>
      <c r="AA48" s="338"/>
      <c r="AB48" s="338"/>
      <c r="AC48" s="338"/>
      <c r="AD48" s="339"/>
      <c r="AE48" s="113"/>
      <c r="AN48" s="205">
        <f>IF($X20="","",$X20)</f>
        <v>15</v>
      </c>
      <c r="AO48" s="206" t="str">
        <f t="shared" si="8"/>
        <v>Grupo D</v>
      </c>
      <c r="AP48" s="346" t="str">
        <f>IF($Y$21="","",$Y$21)</f>
        <v>Mariana Neves (DSRNorte)</v>
      </c>
      <c r="AQ48" s="347" t="str">
        <f t="shared" si="7"/>
        <v>Grupo A</v>
      </c>
      <c r="AR48" s="347" t="str">
        <f t="shared" si="7"/>
        <v>Grupo A</v>
      </c>
      <c r="AS48" s="348" t="str">
        <f t="shared" si="7"/>
        <v>Grupo A</v>
      </c>
      <c r="AT48" s="207" t="str">
        <f>IF(COUNT($AA$20:$AA$21)&lt;2,"",IF($AA$20&lt;$AA$21,"V",IF($AA$20&gt;$AA$21,"D","Empate??")))</f>
        <v/>
      </c>
      <c r="AU48" s="208" t="str">
        <f>IF(COUNT($AA$20:$AA$21)&lt;2,"",$AA$21)</f>
        <v/>
      </c>
      <c r="AV48" s="209" t="str">
        <f>IF(COUNT($AA$20:$AA$21)&lt;2,"",$AA$20)</f>
        <v/>
      </c>
      <c r="AW48" s="210" t="str">
        <f t="shared" si="3"/>
        <v/>
      </c>
      <c r="AX48" s="209" t="str">
        <f>IF(COUNT($AA$20:$AA$21)&lt;2,"",SUM($AB$21:$AD$21))</f>
        <v/>
      </c>
      <c r="AY48" s="211" t="str">
        <f>IF(COUNT($AA$20:$AA$21)&lt;2,"",SUM($AB$20:$AD$20))</f>
        <v/>
      </c>
      <c r="AZ48" s="212" t="str">
        <f t="shared" si="2"/>
        <v/>
      </c>
    </row>
    <row r="49" spans="2:54" ht="13.5" hidden="1" thickBot="1">
      <c r="B49" s="357"/>
      <c r="C49" s="357"/>
      <c r="D49" s="357"/>
      <c r="E49" s="258"/>
      <c r="H49" s="12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68"/>
      <c r="Y49" s="340"/>
      <c r="Z49" s="341"/>
      <c r="AA49" s="341"/>
      <c r="AB49" s="341"/>
      <c r="AC49" s="341"/>
      <c r="AD49" s="342"/>
      <c r="AE49" s="113"/>
      <c r="AN49" s="221">
        <f>IF($X22="","",$X22)</f>
        <v>16</v>
      </c>
      <c r="AO49" s="222" t="str">
        <f t="shared" si="8"/>
        <v>Grupo D</v>
      </c>
      <c r="AP49" s="349" t="str">
        <f>IF($Y$22="","",$Y$22)</f>
        <v>Alexandra Alves (DSRCentro)</v>
      </c>
      <c r="AQ49" s="350" t="str">
        <f t="shared" si="7"/>
        <v>Grupo A</v>
      </c>
      <c r="AR49" s="350" t="str">
        <f t="shared" si="7"/>
        <v>Grupo A</v>
      </c>
      <c r="AS49" s="351" t="str">
        <f t="shared" si="7"/>
        <v>Grupo A</v>
      </c>
      <c r="AT49" s="223" t="str">
        <f>IF(COUNT($AA$22:$AA$23)&lt;2,"",IF($AA$22&gt;$AA$23,"V",IF($AA$22&lt;$AA$23,"D","Empate??")))</f>
        <v/>
      </c>
      <c r="AU49" s="224" t="str">
        <f>IF(COUNT($AA$22:$AA$23)&lt;2,"",$AA$22)</f>
        <v/>
      </c>
      <c r="AV49" s="225" t="str">
        <f>IF(COUNT($AA$22:$AA$23)&lt;2,"",$AA$23)</f>
        <v/>
      </c>
      <c r="AW49" s="226" t="str">
        <f t="shared" si="3"/>
        <v/>
      </c>
      <c r="AX49" s="225" t="str">
        <f>IF(COUNT($AA$22:$AA$23)&lt;2,"",SUM($AB$22:$AD$22))</f>
        <v/>
      </c>
      <c r="AY49" s="227" t="str">
        <f>IF(COUNT($AA$22:$AA$23)&lt;2,"",SUM($AB$23:$AD$23))</f>
        <v/>
      </c>
      <c r="AZ49" s="228" t="str">
        <f t="shared" si="2"/>
        <v/>
      </c>
    </row>
    <row r="50" spans="2:54" ht="15.75" hidden="1">
      <c r="H50" s="126"/>
      <c r="I50" s="317" t="str">
        <f>IF(I31="1ª Meia Final-Jogador1",CONCATENATE("Vencido do jogo ",H31),IF(I31=C30,C32,C30))</f>
        <v>Vencido do jogo 25</v>
      </c>
      <c r="J50" s="317"/>
      <c r="K50" s="318"/>
      <c r="L50" s="69"/>
      <c r="M50" s="69"/>
      <c r="N50" s="70"/>
      <c r="O50" s="38" t="str">
        <f>IF(COUNT(L50:N50)&lt;1,"",IF(SUM(IF(L50&gt;L54,1,0),IF(M50&gt;M54,1,0),IF(N50&gt;N54,1,0))&gt;2,"??",SUM(IF(L50&gt;L54,1,0),IF(M50&gt;M54,1,0),IF(N50&gt;N54,1,0))))</f>
        <v/>
      </c>
      <c r="P50" s="55"/>
      <c r="Q50" s="40"/>
      <c r="R50" s="55"/>
      <c r="S50" s="55"/>
      <c r="T50" s="55"/>
      <c r="U50" s="55"/>
      <c r="V50" s="55"/>
      <c r="W50" s="54"/>
      <c r="X50" s="68"/>
      <c r="Y50" s="343" t="str">
        <f>IF(X56="5º Classificado","",X56)</f>
        <v/>
      </c>
      <c r="Z50" s="344"/>
      <c r="AA50" s="344"/>
      <c r="AB50" s="344"/>
      <c r="AC50" s="344"/>
      <c r="AD50" s="39" t="s">
        <v>37</v>
      </c>
      <c r="AE50" s="113"/>
      <c r="AN50" s="205">
        <f>IF($X22="","",$X22)</f>
        <v>16</v>
      </c>
      <c r="AO50" s="206" t="str">
        <f t="shared" si="8"/>
        <v>Grupo D</v>
      </c>
      <c r="AP50" s="346" t="str">
        <f>IF($Y$23="","",$Y$23)</f>
        <v>Mariana Afonso (DSRLisboa)</v>
      </c>
      <c r="AQ50" s="347" t="str">
        <f t="shared" si="7"/>
        <v>Grupo A</v>
      </c>
      <c r="AR50" s="347" t="str">
        <f t="shared" si="7"/>
        <v>Grupo A</v>
      </c>
      <c r="AS50" s="348" t="str">
        <f t="shared" si="7"/>
        <v>Grupo A</v>
      </c>
      <c r="AT50" s="207" t="str">
        <f>IF(COUNT($AA$22:$AA$23)&lt;2,"",IF($AA$22&lt;$AA$23,"V",IF($AA$22&gt;$AA$23,"D","Empate??")))</f>
        <v/>
      </c>
      <c r="AU50" s="208" t="str">
        <f>IF(COUNT($AA$22:$AA$23)&lt;2,"",$AA$23)</f>
        <v/>
      </c>
      <c r="AV50" s="209" t="str">
        <f>IF(COUNT($AA$22:$AA$23)&lt;2,"",$AA$22)</f>
        <v/>
      </c>
      <c r="AW50" s="210" t="str">
        <f t="shared" si="3"/>
        <v/>
      </c>
      <c r="AX50" s="209" t="str">
        <f>IF(COUNT($AA$22:$AA$23)&lt;2,"",SUM($AB$23:$AD$23))</f>
        <v/>
      </c>
      <c r="AY50" s="211" t="str">
        <f>IF(COUNT($AA$22:$AA$23)&lt;2,"",SUM($AB$22:$AD$22))</f>
        <v/>
      </c>
      <c r="AZ50" s="212" t="str">
        <f t="shared" si="2"/>
        <v/>
      </c>
    </row>
    <row r="51" spans="2:54" ht="15" hidden="1" customHeight="1">
      <c r="H51" s="126"/>
      <c r="I51" s="55"/>
      <c r="J51" s="40"/>
      <c r="K51" s="59"/>
      <c r="L51" s="55"/>
      <c r="M51" s="41"/>
      <c r="N51" s="41"/>
      <c r="O51" s="42"/>
      <c r="P51" s="36"/>
      <c r="Q51" s="40"/>
      <c r="R51" s="55"/>
      <c r="S51" s="55"/>
      <c r="T51" s="55"/>
      <c r="U51" s="55"/>
      <c r="V51" s="60"/>
      <c r="W51" s="53"/>
      <c r="X51" s="48"/>
      <c r="Y51" s="332" t="str">
        <f>IF(Y50="","",IF(Y50=P52,P60,P52))</f>
        <v/>
      </c>
      <c r="Z51" s="333" t="e">
        <f>IF(#REF!="","",IF(#REF!=W51,"","(2º) "))</f>
        <v>#REF!</v>
      </c>
      <c r="AA51" s="333" t="e">
        <f>IF(#REF!="","",IF(#REF!=X51,"","(2º) "))</f>
        <v>#REF!</v>
      </c>
      <c r="AB51" s="333" t="e">
        <f>IF(#REF!="","",IF(#REF!=Y51,"","(2º) "))</f>
        <v>#REF!</v>
      </c>
      <c r="AC51" s="333" t="e">
        <f>IF(#REF!="","",IF(#REF!=Z51,"","(2º) "))</f>
        <v>#REF!</v>
      </c>
      <c r="AD51" s="43" t="s">
        <v>38</v>
      </c>
      <c r="AE51" s="113"/>
      <c r="AN51" s="221">
        <f>IF($X24="","",$X24)</f>
        <v>23</v>
      </c>
      <c r="AO51" s="222" t="str">
        <f t="shared" si="8"/>
        <v>Grupo D</v>
      </c>
      <c r="AP51" s="349" t="str">
        <f>IF($Y$24="","",$Y$24)</f>
        <v>Mariana Afonso (DSRLisboa)</v>
      </c>
      <c r="AQ51" s="350" t="str">
        <f t="shared" si="7"/>
        <v>Grupo A</v>
      </c>
      <c r="AR51" s="350" t="str">
        <f t="shared" si="7"/>
        <v>Grupo A</v>
      </c>
      <c r="AS51" s="351" t="str">
        <f t="shared" si="7"/>
        <v>Grupo A</v>
      </c>
      <c r="AT51" s="223" t="str">
        <f>IF(COUNT($AA$24:$AA$25)&lt;2,"",IF($AA$24&gt;$AA$25,"V",IF($AA$24&lt;$AA$25,"D","Empate??")))</f>
        <v/>
      </c>
      <c r="AU51" s="224" t="str">
        <f>IF(COUNT($AA$24:$AA$25)&lt;2,"",$AA$24)</f>
        <v/>
      </c>
      <c r="AV51" s="225" t="str">
        <f>IF(COUNT($AA$24:$AA$25)&lt;2,"",$AA$25)</f>
        <v/>
      </c>
      <c r="AW51" s="226" t="str">
        <f t="shared" si="3"/>
        <v/>
      </c>
      <c r="AX51" s="225" t="str">
        <f>IF(COUNT($AA$24:$AA$25)&lt;2,"",SUM($AB$24:$AD$24))</f>
        <v/>
      </c>
      <c r="AY51" s="227" t="str">
        <f>IF(COUNT($AA$24:$AA$25)&lt;2,"",SUM($AB$25:$AD$25))</f>
        <v/>
      </c>
      <c r="AZ51" s="228" t="str">
        <f t="shared" si="2"/>
        <v/>
      </c>
    </row>
    <row r="52" spans="2:54" ht="15" hidden="1" customHeight="1">
      <c r="H52" s="126"/>
      <c r="I52" s="55"/>
      <c r="J52" s="40"/>
      <c r="K52" s="59"/>
      <c r="L52" s="55"/>
      <c r="M52" s="42"/>
      <c r="N52" s="42"/>
      <c r="O52" s="64">
        <v>33</v>
      </c>
      <c r="P52" s="322" t="str">
        <f>IF(OR(O50="",O54="")=TRUE,"Disputa 5º/6º Jogador1",IF(O50&gt;O54,I50,I54))</f>
        <v>Disputa 5º/6º Jogador1</v>
      </c>
      <c r="Q52" s="317"/>
      <c r="R52" s="317"/>
      <c r="S52" s="318"/>
      <c r="T52" s="69"/>
      <c r="U52" s="69"/>
      <c r="V52" s="69"/>
      <c r="W52" s="45" t="str">
        <f>IF(COUNT(T52:V52)&lt;1,"",IF(SUM(IF(T52&gt;T60,1,0),IF(U52&gt;U60,1,0),IF(V52&gt;V60,1,0))&gt;2,"??",SUM(IF(T52&gt;T60,1,0),IF(U52&gt;U60,1,0),IF(V52&gt;V60,1,0))))</f>
        <v/>
      </c>
      <c r="X52" s="48"/>
      <c r="Y52" s="332" t="str">
        <f>IF(P56="7º Classificado","",P56)</f>
        <v/>
      </c>
      <c r="Z52" s="333"/>
      <c r="AA52" s="333"/>
      <c r="AB52" s="333"/>
      <c r="AC52" s="333"/>
      <c r="AD52" s="43" t="s">
        <v>39</v>
      </c>
      <c r="AE52" s="113"/>
      <c r="AN52" s="205">
        <f>IF($X24="","",$X24)</f>
        <v>23</v>
      </c>
      <c r="AO52" s="206" t="str">
        <f t="shared" si="8"/>
        <v>Grupo D</v>
      </c>
      <c r="AP52" s="346" t="str">
        <f>IF($Y$25="","",$Y$25)</f>
        <v/>
      </c>
      <c r="AQ52" s="347" t="str">
        <f t="shared" si="7"/>
        <v>Grupo A</v>
      </c>
      <c r="AR52" s="347" t="str">
        <f t="shared" si="7"/>
        <v>Grupo A</v>
      </c>
      <c r="AS52" s="348" t="str">
        <f t="shared" si="7"/>
        <v>Grupo A</v>
      </c>
      <c r="AT52" s="207" t="str">
        <f>IF(COUNT($AA$24:$AA$25)&lt;2,"",IF($AA$24&lt;$AA$25,"V",IF($AA$24&gt;$AA$25,"D","Empate??")))</f>
        <v/>
      </c>
      <c r="AU52" s="208" t="str">
        <f>IF(COUNT($AA$24:$AA$25)&lt;2,"",$AA$25)</f>
        <v/>
      </c>
      <c r="AV52" s="209" t="str">
        <f>IF(COUNT($AA$24:$AA$25)&lt;2,"",$AA$24)</f>
        <v/>
      </c>
      <c r="AW52" s="210" t="str">
        <f t="shared" si="3"/>
        <v/>
      </c>
      <c r="AX52" s="209" t="str">
        <f>IF(COUNT($AA$24:$AA$25)&lt;2,"",SUM($AB$25:$AD$25))</f>
        <v/>
      </c>
      <c r="AY52" s="211" t="str">
        <f>IF(COUNT($AA$24:$AA$25)&lt;2,"",SUM($AB$24:$AD$24))</f>
        <v/>
      </c>
      <c r="AZ52" s="212" t="str">
        <f t="shared" si="2"/>
        <v/>
      </c>
    </row>
    <row r="53" spans="2:54" ht="15.75" hidden="1" thickBot="1">
      <c r="H53" s="126"/>
      <c r="I53" s="55"/>
      <c r="J53" s="40"/>
      <c r="K53" s="59"/>
      <c r="L53" s="55"/>
      <c r="M53" s="42"/>
      <c r="N53" s="42"/>
      <c r="O53" s="42"/>
      <c r="P53" s="36"/>
      <c r="Q53" s="40"/>
      <c r="R53" s="55"/>
      <c r="S53" s="46"/>
      <c r="T53" s="42"/>
      <c r="U53" s="42"/>
      <c r="V53" s="67"/>
      <c r="W53" s="47"/>
      <c r="X53" s="48"/>
      <c r="Y53" s="334" t="str">
        <f>IF(Y52="","",IF(Y52=P54,P58,P54))</f>
        <v/>
      </c>
      <c r="Z53" s="335" t="e">
        <f>IF(#REF!="","",IF(#REF!=W53,"","(2º) "))</f>
        <v>#REF!</v>
      </c>
      <c r="AA53" s="335" t="e">
        <f>IF(#REF!="","",IF(#REF!=X53,"","(2º) "))</f>
        <v>#REF!</v>
      </c>
      <c r="AB53" s="335" t="e">
        <f>IF(#REF!="","",IF(#REF!=Y53,"","(2º) "))</f>
        <v>#REF!</v>
      </c>
      <c r="AC53" s="335" t="e">
        <f>IF(#REF!="","",IF(#REF!=Z53,"","(2º) "))</f>
        <v>#REF!</v>
      </c>
      <c r="AD53" s="164" t="s">
        <v>40</v>
      </c>
      <c r="AE53" s="113"/>
      <c r="AN53" s="221">
        <f>IF($X26="","",$X26)</f>
        <v>24</v>
      </c>
      <c r="AO53" s="222" t="str">
        <f t="shared" si="8"/>
        <v>Grupo D</v>
      </c>
      <c r="AP53" s="349" t="str">
        <f>IF($Y$26="","",$Y$26)</f>
        <v>Mariana Neves (DSRNorte)</v>
      </c>
      <c r="AQ53" s="350" t="str">
        <f t="shared" si="7"/>
        <v>Grupo A</v>
      </c>
      <c r="AR53" s="350" t="str">
        <f t="shared" si="7"/>
        <v>Grupo A</v>
      </c>
      <c r="AS53" s="351" t="str">
        <f t="shared" si="7"/>
        <v>Grupo A</v>
      </c>
      <c r="AT53" s="223" t="str">
        <f>IF(COUNT($AA$26:$AA$27)&lt;2,"",IF($AA$26&gt;$AA$27,"V",IF($AA$26&lt;$AA$27,"D","Empate??")))</f>
        <v/>
      </c>
      <c r="AU53" s="224" t="str">
        <f>IF(COUNT($AA$26:$AA$27)&lt;2,"",$AA$26)</f>
        <v/>
      </c>
      <c r="AV53" s="225" t="str">
        <f>IF(COUNT($AA$26:$AA$27)&lt;2,"",$AA$27)</f>
        <v/>
      </c>
      <c r="AW53" s="226" t="str">
        <f t="shared" si="3"/>
        <v/>
      </c>
      <c r="AX53" s="225" t="str">
        <f>IF(COUNT($AA$26:$AA$27)&lt;2,"",SUM($AB$26:$AD$26))</f>
        <v/>
      </c>
      <c r="AY53" s="227" t="str">
        <f>IF(COUNT($AA$26:$AA$27)&lt;2,"",SUM($AB$27:$AD$27))</f>
        <v/>
      </c>
      <c r="AZ53" s="228" t="str">
        <f t="shared" si="2"/>
        <v/>
      </c>
    </row>
    <row r="54" spans="2:54" ht="15.75" hidden="1" thickBot="1">
      <c r="H54" s="126"/>
      <c r="I54" s="317" t="str">
        <f>IF(I35="1ª Meia Final-Jogador2",CONCATENATE("Vencido do jogo ",H35),IF(I35=C34,C36,C34))</f>
        <v>Vencido do jogo 26</v>
      </c>
      <c r="J54" s="317"/>
      <c r="K54" s="318"/>
      <c r="L54" s="69"/>
      <c r="M54" s="69"/>
      <c r="N54" s="70"/>
      <c r="O54" s="38" t="str">
        <f>IF(COUNT(L54:N54)&lt;1,"",IF(SUM(IF(L50&lt;L54,1,0),IF(M50&lt;M54,1,0),IF(N50&lt;N54,1,0))&gt;2,"??",SUM(IF(L50&lt;L54,1,0),IF(M50&lt;M54,1,0),IF(N50&lt;N54,1,0))))</f>
        <v/>
      </c>
      <c r="P54" s="319" t="str">
        <f>IF(P52="Disputa 5º/6º Jogador1","Disputa 7º/8º  Jogador1",IF(P52=I50,I54,I50))</f>
        <v>Disputa 7º/8º  Jogador1</v>
      </c>
      <c r="Q54" s="352"/>
      <c r="R54" s="353"/>
      <c r="S54" s="69"/>
      <c r="T54" s="69"/>
      <c r="U54" s="69"/>
      <c r="V54" s="49" t="str">
        <f>IF(COUNT(S54:U54)&lt;1,"",IF(SUM(IF(S54&gt;S58,1,0),IF(T54&gt;T58,1,0),IF(U54&gt;U58,1,0))&gt;2,"??",SUM(IF(S54&gt;S58,1,0),IF(T54&gt;T58,1,0),IF(U54&gt;U58,1,0))))</f>
        <v/>
      </c>
      <c r="W54" s="50"/>
      <c r="X54" s="48"/>
      <c r="Y54" s="53"/>
      <c r="Z54" s="53"/>
      <c r="AA54" s="53"/>
      <c r="AB54" s="53"/>
      <c r="AC54" s="53"/>
      <c r="AD54" s="54"/>
      <c r="AE54" s="113"/>
      <c r="AN54" s="229">
        <f>IF($X26="","",$X26)</f>
        <v>24</v>
      </c>
      <c r="AO54" s="230" t="str">
        <f t="shared" si="8"/>
        <v>Grupo D</v>
      </c>
      <c r="AP54" s="354" t="str">
        <f>IF($Y$27="","",$Y$27)</f>
        <v>Alexandra Alves (DSRCentro)</v>
      </c>
      <c r="AQ54" s="355" t="str">
        <f t="shared" si="7"/>
        <v>Grupo A</v>
      </c>
      <c r="AR54" s="355" t="str">
        <f t="shared" si="7"/>
        <v>Grupo A</v>
      </c>
      <c r="AS54" s="356" t="str">
        <f t="shared" si="7"/>
        <v>Grupo A</v>
      </c>
      <c r="AT54" s="231" t="str">
        <f>IF(COUNT($AA$26:$AA$27)&lt;2,"",IF($AA$26&lt;$AA$27,"V",IF($AA$26&gt;$AA$27,"D","Empate??")))</f>
        <v/>
      </c>
      <c r="AU54" s="232" t="str">
        <f>IF(COUNT($AA$26:$AA$27)&lt;2,"",$AA$27)</f>
        <v/>
      </c>
      <c r="AV54" s="233" t="str">
        <f>IF(COUNT($AA$26:$AA$27)&lt;2,"",$AA$26)</f>
        <v/>
      </c>
      <c r="AW54" s="234" t="str">
        <f t="shared" si="3"/>
        <v/>
      </c>
      <c r="AX54" s="233" t="str">
        <f>IF(COUNT($AA$26:$AA$27)&lt;2,"",SUM($AB$27:$AD$27))</f>
        <v/>
      </c>
      <c r="AY54" s="235" t="str">
        <f>IF(COUNT($AA$26:$AA$27)&lt;2,"",SUM($AB$26:$AD$26))</f>
        <v/>
      </c>
      <c r="AZ54" s="236" t="str">
        <f t="shared" si="2"/>
        <v/>
      </c>
    </row>
    <row r="55" spans="2:54" ht="12.75" hidden="1" customHeight="1">
      <c r="H55" s="126"/>
      <c r="I55" s="55"/>
      <c r="J55" s="40"/>
      <c r="K55" s="59"/>
      <c r="L55" s="46"/>
      <c r="M55" s="42"/>
      <c r="N55" s="42"/>
      <c r="O55" s="42"/>
      <c r="P55" s="55"/>
      <c r="Q55" s="51"/>
      <c r="R55" s="46"/>
      <c r="S55" s="46"/>
      <c r="T55" s="41"/>
      <c r="U55" s="41"/>
      <c r="V55" s="52"/>
      <c r="W55" s="50"/>
      <c r="X55" s="48"/>
      <c r="Y55" s="53"/>
      <c r="Z55" s="53"/>
      <c r="AA55" s="53"/>
      <c r="AB55" s="53"/>
      <c r="AC55" s="53"/>
      <c r="AD55" s="54"/>
      <c r="AE55" s="113"/>
      <c r="AN55" s="250"/>
      <c r="AO55" s="295"/>
      <c r="AP55" s="295"/>
      <c r="AQ55" s="237"/>
      <c r="AR55" s="238"/>
      <c r="AS55" s="295"/>
      <c r="AT55" s="239"/>
      <c r="AU55" s="180"/>
      <c r="AV55" s="180"/>
      <c r="AW55" s="239"/>
      <c r="AX55" s="180"/>
      <c r="AY55" s="180"/>
      <c r="AZ55" s="239"/>
      <c r="BA55" s="108"/>
      <c r="BB55" s="108"/>
    </row>
    <row r="56" spans="2:54" ht="15.75" hidden="1">
      <c r="H56" s="126"/>
      <c r="I56" s="55"/>
      <c r="J56" s="40"/>
      <c r="K56" s="59"/>
      <c r="L56" s="55"/>
      <c r="M56" s="42"/>
      <c r="N56" s="42"/>
      <c r="O56" s="42"/>
      <c r="P56" s="345" t="str">
        <f>IF(OR(V54="",V58="")=TRUE,"7º Classificado",IF(V54&gt;V58,P54,P58))</f>
        <v>7º Classificado</v>
      </c>
      <c r="Q56" s="345"/>
      <c r="R56" s="345"/>
      <c r="S56" s="345"/>
      <c r="T56" s="345"/>
      <c r="U56" s="345"/>
      <c r="V56" s="65">
        <v>35</v>
      </c>
      <c r="W56" s="66">
        <v>36</v>
      </c>
      <c r="X56" s="329" t="str">
        <f>IF(OR(W52="",W60="")=TRUE,"5º Classificado",IF(W52&gt;W60,P52,P60))</f>
        <v>5º Classificado</v>
      </c>
      <c r="Y56" s="330"/>
      <c r="Z56" s="330"/>
      <c r="AA56" s="330"/>
      <c r="AB56" s="330"/>
      <c r="AC56" s="330"/>
      <c r="AD56" s="54"/>
      <c r="AE56" s="113"/>
      <c r="AN56" s="250"/>
      <c r="AO56" s="295"/>
      <c r="AP56" s="295"/>
      <c r="AQ56" s="237"/>
      <c r="AR56" s="238"/>
      <c r="AS56" s="295"/>
      <c r="AT56" s="239"/>
      <c r="AU56" s="180"/>
      <c r="AV56" s="180"/>
      <c r="AW56" s="239"/>
      <c r="AX56" s="180"/>
      <c r="AY56" s="180"/>
      <c r="AZ56" s="239"/>
      <c r="BA56" s="108"/>
      <c r="BB56" s="108"/>
    </row>
    <row r="57" spans="2:54" ht="15" hidden="1">
      <c r="H57" s="126"/>
      <c r="I57" s="55"/>
      <c r="J57" s="40"/>
      <c r="K57" s="59"/>
      <c r="L57" s="55"/>
      <c r="M57" s="42"/>
      <c r="N57" s="42"/>
      <c r="O57" s="42"/>
      <c r="P57" s="55"/>
      <c r="Q57" s="40"/>
      <c r="R57" s="55"/>
      <c r="S57" s="55"/>
      <c r="T57" s="42"/>
      <c r="U57" s="42"/>
      <c r="V57" s="56"/>
      <c r="W57" s="50"/>
      <c r="X57" s="48"/>
      <c r="Y57" s="331"/>
      <c r="Z57" s="331"/>
      <c r="AA57" s="331"/>
      <c r="AB57" s="331"/>
      <c r="AC57" s="331"/>
      <c r="AD57" s="54"/>
      <c r="AE57" s="113"/>
      <c r="AN57" s="250"/>
      <c r="AO57" s="295"/>
      <c r="AP57" s="295"/>
      <c r="AQ57" s="237"/>
      <c r="AR57" s="238"/>
      <c r="AS57" s="295"/>
      <c r="AT57" s="239"/>
      <c r="AU57" s="180"/>
      <c r="AV57" s="180"/>
      <c r="AW57" s="239"/>
      <c r="AX57" s="180"/>
      <c r="AY57" s="180"/>
      <c r="AZ57" s="239"/>
      <c r="BA57" s="108"/>
      <c r="BB57" s="108"/>
    </row>
    <row r="58" spans="2:54" ht="15" hidden="1">
      <c r="H58" s="126"/>
      <c r="I58" s="317" t="str">
        <f>IF(I39="2ª Meia Final-Jogador1",CONCATENATE("Vencido do jogo ",H39),IF(I39=C38,C40,C38))</f>
        <v>Vencido do jogo 27</v>
      </c>
      <c r="J58" s="317"/>
      <c r="K58" s="318"/>
      <c r="L58" s="69"/>
      <c r="M58" s="69"/>
      <c r="N58" s="70"/>
      <c r="O58" s="38" t="str">
        <f>IF(COUNT(L58:N58)&lt;1,"",IF(SUM(IF(L58&gt;L62,1,0),IF(M58&gt;M62,1,0),IF(N58&gt;N62,1,0))&gt;2,"??",SUM(IF(L58&gt;L62,1,0),IF(M58&gt;M62,1,0),IF(N58&gt;N62,1,0))))</f>
        <v/>
      </c>
      <c r="P58" s="319" t="str">
        <f>IF(P60="Disputa 5º/6º Jogador2","Disputa 7º/8º  Jogador2",IF(P60=I58,I62,I58))</f>
        <v>Disputa 7º/8º  Jogador2</v>
      </c>
      <c r="Q58" s="320"/>
      <c r="R58" s="321"/>
      <c r="S58" s="69"/>
      <c r="T58" s="69"/>
      <c r="U58" s="69"/>
      <c r="V58" s="49" t="str">
        <f>IF(COUNT(S58:U58)&lt;1,"",IF(SUM(IF(S54&lt;S58,1,0),IF(T54&lt;T58,1,0),IF(U54&lt;U58,1,0))&gt;2,"??",SUM(IF(S54&lt;S58,1,0),IF(T54&lt;T58,1,0),IF(U54&lt;U58,1,0))))</f>
        <v/>
      </c>
      <c r="W58" s="50"/>
      <c r="X58" s="48"/>
      <c r="Y58" s="53"/>
      <c r="Z58" s="53"/>
      <c r="AA58" s="53"/>
      <c r="AB58" s="57"/>
      <c r="AC58" s="57"/>
      <c r="AD58" s="58"/>
      <c r="AE58" s="113"/>
      <c r="AN58" s="250"/>
      <c r="AO58" s="295"/>
      <c r="AP58" s="295"/>
      <c r="AQ58" s="237"/>
      <c r="AR58" s="238"/>
      <c r="AS58" s="295"/>
      <c r="AT58" s="239"/>
      <c r="AU58" s="180"/>
      <c r="AV58" s="180"/>
      <c r="AW58" s="239"/>
      <c r="AX58" s="180"/>
      <c r="AY58" s="180"/>
      <c r="AZ58" s="239"/>
      <c r="BA58" s="108"/>
      <c r="BB58" s="108"/>
    </row>
    <row r="59" spans="2:54" hidden="1">
      <c r="H59" s="126"/>
      <c r="I59" s="55"/>
      <c r="J59" s="40"/>
      <c r="K59" s="59"/>
      <c r="L59" s="55"/>
      <c r="M59" s="41"/>
      <c r="N59" s="41"/>
      <c r="O59" s="42"/>
      <c r="P59" s="36"/>
      <c r="Q59" s="51"/>
      <c r="R59" s="46"/>
      <c r="S59" s="55"/>
      <c r="T59" s="42"/>
      <c r="U59" s="42"/>
      <c r="V59" s="67"/>
      <c r="W59" s="50"/>
      <c r="X59" s="48"/>
      <c r="Y59" s="53"/>
      <c r="Z59" s="53"/>
      <c r="AA59" s="53"/>
      <c r="AB59" s="53"/>
      <c r="AC59" s="53"/>
      <c r="AD59" s="54"/>
      <c r="AE59" s="113"/>
    </row>
    <row r="60" spans="2:54" ht="15" hidden="1">
      <c r="H60" s="126"/>
      <c r="I60" s="55"/>
      <c r="J60" s="40"/>
      <c r="K60" s="59"/>
      <c r="L60" s="55"/>
      <c r="M60" s="42"/>
      <c r="N60" s="42"/>
      <c r="O60" s="64">
        <v>34</v>
      </c>
      <c r="P60" s="322" t="str">
        <f>IF(OR(O58="",O62="")=TRUE,"Disputa 5º/6º Jogador2",IF(O58&gt;O62,I58,I62))</f>
        <v>Disputa 5º/6º Jogador2</v>
      </c>
      <c r="Q60" s="317"/>
      <c r="R60" s="317"/>
      <c r="S60" s="318"/>
      <c r="T60" s="69"/>
      <c r="U60" s="69"/>
      <c r="V60" s="69"/>
      <c r="W60" s="45" t="str">
        <f>IF(COUNT(T60:V60)&lt;1,"",IF(SUM(IF(T52&lt;T60,1,0),IF(U52&lt;U60,1,0),IF(V52&lt;V60,1,0))&gt;2,"??",SUM(IF(T52&lt;T60,1,0),IF(U52&lt;U60,1,0),IF(V52&lt;V60,1,0))))</f>
        <v/>
      </c>
      <c r="X60" s="48"/>
      <c r="Y60" s="53"/>
      <c r="Z60" s="53"/>
      <c r="AA60" s="53"/>
      <c r="AB60" s="53"/>
      <c r="AC60" s="53"/>
      <c r="AD60" s="54"/>
      <c r="AE60" s="113"/>
    </row>
    <row r="61" spans="2:54" ht="15" hidden="1" customHeight="1">
      <c r="H61" s="126"/>
      <c r="I61" s="55"/>
      <c r="J61" s="40"/>
      <c r="K61" s="59"/>
      <c r="L61" s="55"/>
      <c r="M61" s="42"/>
      <c r="N61" s="42"/>
      <c r="O61" s="42"/>
      <c r="P61" s="36"/>
      <c r="Q61" s="40"/>
      <c r="R61" s="55"/>
      <c r="S61" s="46"/>
      <c r="T61" s="55"/>
      <c r="U61" s="55"/>
      <c r="V61" s="60"/>
      <c r="W61" s="53"/>
      <c r="X61" s="48"/>
      <c r="Y61" s="53"/>
      <c r="Z61" s="53"/>
      <c r="AA61" s="53"/>
      <c r="AB61" s="53"/>
      <c r="AC61" s="53"/>
      <c r="AD61" s="54"/>
      <c r="AE61" s="113"/>
    </row>
    <row r="62" spans="2:54" ht="15" hidden="1">
      <c r="H62" s="126"/>
      <c r="I62" s="317" t="str">
        <f>IF(I43="2ª Meia Final-Jogador2",CONCATENATE("Vencido do jogo ",H43),IF(I43=C42,C44,C42))</f>
        <v>Vencido do jogo 28</v>
      </c>
      <c r="J62" s="317"/>
      <c r="K62" s="318"/>
      <c r="L62" s="69"/>
      <c r="M62" s="69"/>
      <c r="N62" s="70"/>
      <c r="O62" s="35" t="str">
        <f>IF(COUNT(L62:N62)&lt;1,"",IF(SUM(IF(L58&lt;L62,1,0),IF(M58&lt;M62,1,0),IF(N58&lt;N62,1,0))&gt;2,"??",SUM(IF(L58&lt;L62,1,0),IF(M58&lt;M62,1,0),IF(N58&lt;N62,1,0))))</f>
        <v/>
      </c>
      <c r="P62" s="36"/>
      <c r="Q62" s="40"/>
      <c r="R62" s="55"/>
      <c r="S62" s="55"/>
      <c r="T62" s="55"/>
      <c r="U62" s="55"/>
      <c r="V62" s="55"/>
      <c r="W62" s="54"/>
      <c r="X62" s="68"/>
      <c r="Y62" s="54"/>
      <c r="Z62" s="54"/>
      <c r="AA62" s="54"/>
      <c r="AB62" s="54"/>
      <c r="AC62" s="54"/>
      <c r="AD62" s="54"/>
      <c r="AE62" s="113"/>
    </row>
    <row r="63" spans="2:54" hidden="1">
      <c r="H63" s="128"/>
      <c r="I63" s="168"/>
      <c r="J63" s="169"/>
      <c r="K63" s="168"/>
      <c r="L63" s="170"/>
      <c r="M63" s="168"/>
      <c r="N63" s="168"/>
      <c r="O63" s="168"/>
      <c r="P63" s="168"/>
      <c r="Q63" s="169"/>
      <c r="R63" s="168"/>
      <c r="S63" s="168"/>
      <c r="T63" s="168"/>
      <c r="U63" s="168"/>
      <c r="V63" s="168"/>
      <c r="W63" s="122"/>
      <c r="X63" s="123"/>
      <c r="Y63" s="122"/>
      <c r="Z63" s="122"/>
      <c r="AA63" s="122"/>
      <c r="AB63" s="122"/>
      <c r="AC63" s="122"/>
      <c r="AD63" s="122"/>
      <c r="AE63" s="124"/>
    </row>
    <row r="64" spans="2:54" ht="6" hidden="1" customHeight="1">
      <c r="H64" s="54"/>
    </row>
    <row r="65" spans="4:54" ht="13.5" hidden="1" thickBot="1">
      <c r="D65" s="54"/>
      <c r="H65" s="125"/>
      <c r="I65" s="61"/>
      <c r="J65" s="167"/>
      <c r="K65" s="61"/>
      <c r="L65" s="61"/>
      <c r="M65" s="61"/>
      <c r="N65" s="61"/>
      <c r="O65" s="61"/>
      <c r="P65" s="61"/>
      <c r="Q65" s="167"/>
      <c r="R65" s="61"/>
      <c r="S65" s="61"/>
      <c r="T65" s="61"/>
      <c r="U65" s="61"/>
      <c r="V65" s="61"/>
      <c r="W65" s="61"/>
      <c r="X65" s="167"/>
      <c r="Y65" s="61"/>
      <c r="Z65" s="61"/>
      <c r="AA65" s="61"/>
      <c r="AB65" s="61"/>
      <c r="AC65" s="61"/>
      <c r="AD65" s="61"/>
      <c r="AE65" s="3"/>
      <c r="AN65" s="250"/>
      <c r="AO65" s="295"/>
      <c r="AP65" s="327"/>
      <c r="AQ65" s="327"/>
      <c r="AR65" s="327"/>
      <c r="AS65" s="327"/>
      <c r="AT65" s="239"/>
      <c r="AU65" s="180"/>
      <c r="AV65" s="180"/>
      <c r="AW65" s="239"/>
      <c r="AX65" s="180"/>
      <c r="AY65" s="180"/>
      <c r="AZ65" s="239"/>
    </row>
    <row r="66" spans="4:54" hidden="1">
      <c r="D66" s="54"/>
      <c r="H66" s="126"/>
      <c r="I66" s="336" t="s">
        <v>66</v>
      </c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68"/>
      <c r="Y66" s="337" t="s">
        <v>0</v>
      </c>
      <c r="Z66" s="338"/>
      <c r="AA66" s="338"/>
      <c r="AB66" s="338"/>
      <c r="AC66" s="338"/>
      <c r="AD66" s="339"/>
      <c r="AE66" s="113"/>
      <c r="AN66" s="250"/>
      <c r="AO66" s="295"/>
      <c r="AP66" s="327"/>
      <c r="AQ66" s="327"/>
      <c r="AR66" s="327"/>
      <c r="AS66" s="327"/>
      <c r="AT66" s="239"/>
      <c r="AU66" s="180"/>
      <c r="AV66" s="180"/>
      <c r="AW66" s="239"/>
      <c r="AX66" s="180"/>
      <c r="AY66" s="180"/>
      <c r="AZ66" s="239"/>
    </row>
    <row r="67" spans="4:54" ht="13.5" hidden="1" thickBot="1">
      <c r="D67" s="54"/>
      <c r="H67" s="12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68"/>
      <c r="Y67" s="340"/>
      <c r="Z67" s="341"/>
      <c r="AA67" s="341"/>
      <c r="AB67" s="341"/>
      <c r="AC67" s="341"/>
      <c r="AD67" s="342"/>
      <c r="AE67" s="113"/>
      <c r="AN67" s="250"/>
      <c r="AO67" s="295"/>
      <c r="AP67" s="327"/>
      <c r="AQ67" s="327"/>
      <c r="AR67" s="327"/>
      <c r="AS67" s="327"/>
      <c r="AT67" s="239"/>
      <c r="AU67" s="180"/>
      <c r="AV67" s="180"/>
      <c r="AW67" s="239"/>
      <c r="AX67" s="180"/>
      <c r="AY67" s="180"/>
      <c r="AZ67" s="239"/>
    </row>
    <row r="68" spans="4:54" ht="15.75" hidden="1">
      <c r="H68" s="126"/>
      <c r="I68" s="317" t="str">
        <f>IF(D14="","3º  do Grupo A",D14)</f>
        <v>3º  do Grupo A</v>
      </c>
      <c r="J68" s="317"/>
      <c r="K68" s="318"/>
      <c r="L68" s="69"/>
      <c r="M68" s="69"/>
      <c r="N68" s="70"/>
      <c r="O68" s="38" t="str">
        <f>IF(COUNT(L68:N68)&lt;1,"",IF(SUM(IF(L68&gt;L72,1,0),IF(M68&gt;M72,1,0),IF(N68&gt;N72,1,0))&gt;2,"??",SUM(IF(L68&gt;L72,1,0),IF(M68&gt;M72,1,0),IF(N68&gt;N72,1,0))))</f>
        <v/>
      </c>
      <c r="P68" s="55"/>
      <c r="Q68" s="40"/>
      <c r="R68" s="55"/>
      <c r="S68" s="55"/>
      <c r="T68" s="55"/>
      <c r="U68" s="55"/>
      <c r="V68" s="55"/>
      <c r="W68" s="54"/>
      <c r="X68" s="68"/>
      <c r="Y68" s="343" t="str">
        <f>IF(X74="9º Classificado","",X74)</f>
        <v/>
      </c>
      <c r="Z68" s="344"/>
      <c r="AA68" s="344"/>
      <c r="AB68" s="344"/>
      <c r="AC68" s="344"/>
      <c r="AD68" s="39" t="s">
        <v>67</v>
      </c>
      <c r="AE68" s="113"/>
      <c r="AN68" s="250"/>
      <c r="AO68" s="295"/>
      <c r="AP68" s="327"/>
      <c r="AQ68" s="327"/>
      <c r="AR68" s="327"/>
      <c r="AS68" s="327"/>
      <c r="AT68" s="239"/>
      <c r="AU68" s="180"/>
      <c r="AV68" s="180"/>
      <c r="AW68" s="239"/>
      <c r="AX68" s="180"/>
      <c r="AY68" s="180"/>
      <c r="AZ68" s="239"/>
    </row>
    <row r="69" spans="4:54" ht="15" hidden="1" customHeight="1">
      <c r="H69" s="126"/>
      <c r="I69" s="55"/>
      <c r="J69" s="40"/>
      <c r="K69" s="59"/>
      <c r="L69" s="55"/>
      <c r="M69" s="41"/>
      <c r="N69" s="41"/>
      <c r="O69" s="42"/>
      <c r="P69" s="36"/>
      <c r="Q69" s="40"/>
      <c r="R69" s="55"/>
      <c r="S69" s="55"/>
      <c r="T69" s="55"/>
      <c r="U69" s="55"/>
      <c r="V69" s="60"/>
      <c r="W69" s="53"/>
      <c r="X69" s="48"/>
      <c r="Y69" s="332" t="str">
        <f>IF(Y68="","",IF(Y68=P70,P78,P70))</f>
        <v/>
      </c>
      <c r="Z69" s="333" t="e">
        <f>IF(#REF!="","",IF(#REF!=W69,"","(2º) "))</f>
        <v>#REF!</v>
      </c>
      <c r="AA69" s="333" t="e">
        <f>IF(#REF!="","",IF(#REF!=X69,"","(2º) "))</f>
        <v>#REF!</v>
      </c>
      <c r="AB69" s="333" t="e">
        <f>IF(#REF!="","",IF(#REF!=Y69,"","(2º) "))</f>
        <v>#REF!</v>
      </c>
      <c r="AC69" s="333" t="e">
        <f>IF(#REF!="","",IF(#REF!=Z69,"","(2º) "))</f>
        <v>#REF!</v>
      </c>
      <c r="AD69" s="43" t="s">
        <v>68</v>
      </c>
      <c r="AE69" s="113"/>
      <c r="AN69" s="250"/>
      <c r="AO69" s="295"/>
      <c r="AP69" s="327"/>
      <c r="AQ69" s="327"/>
      <c r="AR69" s="327"/>
      <c r="AS69" s="327"/>
      <c r="AT69" s="239"/>
      <c r="AU69" s="180"/>
      <c r="AV69" s="180"/>
      <c r="AW69" s="239"/>
      <c r="AX69" s="180"/>
      <c r="AY69" s="180"/>
      <c r="AZ69" s="239"/>
    </row>
    <row r="70" spans="4:54" ht="15" hidden="1" customHeight="1">
      <c r="H70" s="126"/>
      <c r="I70" s="55"/>
      <c r="J70" s="40"/>
      <c r="K70" s="59"/>
      <c r="L70" s="55"/>
      <c r="M70" s="42"/>
      <c r="N70" s="42"/>
      <c r="O70" s="64">
        <v>37</v>
      </c>
      <c r="P70" s="322" t="str">
        <f>IF(OR(O68="",O72="")=TRUE,"Disputa 9º/10º Jogador1",IF(O68&gt;O72,I68,I72))</f>
        <v>Disputa 9º/10º Jogador1</v>
      </c>
      <c r="Q70" s="317"/>
      <c r="R70" s="317"/>
      <c r="S70" s="318"/>
      <c r="T70" s="69"/>
      <c r="U70" s="69"/>
      <c r="V70" s="69"/>
      <c r="W70" s="45" t="str">
        <f>IF(COUNT(T70:V70)&lt;1,"",IF(SUM(IF(T70&gt;T78,1,0),IF(U70&gt;U78,1,0),IF(V70&gt;V78,1,0))&gt;2,"??",SUM(IF(T70&gt;T78,1,0),IF(U70&gt;U78,1,0),IF(V70&gt;V78,1,0))))</f>
        <v/>
      </c>
      <c r="X70" s="48"/>
      <c r="Y70" s="332" t="str">
        <f>IF(P74="11º Classificado","",P74)</f>
        <v/>
      </c>
      <c r="Z70" s="333"/>
      <c r="AA70" s="333"/>
      <c r="AB70" s="333"/>
      <c r="AC70" s="333"/>
      <c r="AD70" s="43" t="s">
        <v>69</v>
      </c>
      <c r="AE70" s="113"/>
      <c r="AN70" s="250"/>
      <c r="AO70" s="295"/>
      <c r="AP70" s="327"/>
      <c r="AQ70" s="327"/>
      <c r="AR70" s="327"/>
      <c r="AS70" s="327"/>
      <c r="AT70" s="239"/>
      <c r="AU70" s="180"/>
      <c r="AV70" s="180"/>
      <c r="AW70" s="239"/>
      <c r="AX70" s="180"/>
      <c r="AY70" s="180"/>
      <c r="AZ70" s="239"/>
    </row>
    <row r="71" spans="4:54" ht="15.75" hidden="1" thickBot="1">
      <c r="H71" s="126"/>
      <c r="I71" s="55"/>
      <c r="J71" s="40"/>
      <c r="K71" s="59"/>
      <c r="L71" s="55"/>
      <c r="M71" s="42"/>
      <c r="N71" s="42"/>
      <c r="O71" s="42"/>
      <c r="P71" s="36"/>
      <c r="Q71" s="40"/>
      <c r="R71" s="55"/>
      <c r="S71" s="46"/>
      <c r="T71" s="42"/>
      <c r="U71" s="42"/>
      <c r="V71" s="67"/>
      <c r="W71" s="47"/>
      <c r="X71" s="48"/>
      <c r="Y71" s="334" t="str">
        <f>IF(Y70="","",IF(Y70=P72,P76,P72))</f>
        <v/>
      </c>
      <c r="Z71" s="335"/>
      <c r="AA71" s="335"/>
      <c r="AB71" s="335"/>
      <c r="AC71" s="335"/>
      <c r="AD71" s="164" t="s">
        <v>70</v>
      </c>
      <c r="AE71" s="113"/>
      <c r="AN71" s="250"/>
      <c r="AO71" s="295"/>
      <c r="AP71" s="327"/>
      <c r="AQ71" s="327"/>
      <c r="AR71" s="327"/>
      <c r="AS71" s="327"/>
      <c r="AT71" s="239"/>
      <c r="AU71" s="180"/>
      <c r="AV71" s="180"/>
      <c r="AW71" s="239"/>
      <c r="AX71" s="180"/>
      <c r="AY71" s="180"/>
      <c r="AZ71" s="239"/>
    </row>
    <row r="72" spans="4:54" ht="15" hidden="1">
      <c r="H72" s="126"/>
      <c r="I72" s="317" t="str">
        <f>IF(K14="","3º  do Grupo B",K14)</f>
        <v>3º  do Grupo B</v>
      </c>
      <c r="J72" s="317"/>
      <c r="K72" s="318"/>
      <c r="L72" s="69"/>
      <c r="M72" s="69"/>
      <c r="N72" s="70"/>
      <c r="O72" s="35" t="str">
        <f>IF(COUNT(L72:N72)&lt;1,"",IF(SUM(IF(L68&lt;L72,1,0),IF(M68&lt;M72,1,0),IF(N68&lt;N72,1,0))&gt;2,"??",SUM(IF(L68&lt;L72,1,0),IF(M68&lt;M72,1,0),IF(N68&lt;N72,1,0))))</f>
        <v/>
      </c>
      <c r="P72" s="324" t="str">
        <f>IF(P70="Disputa 9º/10º Jogador1","Disputa 11º/12º  Jogador1",IF(P70=I68,I72,I68))</f>
        <v>Disputa 11º/12º  Jogador1</v>
      </c>
      <c r="Q72" s="325"/>
      <c r="R72" s="326"/>
      <c r="S72" s="69"/>
      <c r="T72" s="69"/>
      <c r="U72" s="69"/>
      <c r="V72" s="49" t="str">
        <f>IF(COUNT(S72:U72)&lt;1,"",IF(SUM(IF(S72&gt;S76,1,0),IF(T72&gt;T76,1,0),IF(U72&gt;U76,1,0))&gt;2,"??",SUM(IF(S72&gt;S76,1,0),IF(T72&gt;T76,1,0),IF(U72&gt;U76,1,0))))</f>
        <v/>
      </c>
      <c r="W72" s="50"/>
      <c r="X72" s="48"/>
      <c r="Y72" s="53"/>
      <c r="Z72" s="53"/>
      <c r="AA72" s="53"/>
      <c r="AB72" s="53"/>
      <c r="AC72" s="53"/>
      <c r="AD72" s="54"/>
      <c r="AE72" s="113"/>
      <c r="AN72" s="250"/>
      <c r="AO72" s="295"/>
      <c r="AP72" s="327"/>
      <c r="AQ72" s="327"/>
      <c r="AR72" s="327"/>
      <c r="AS72" s="327"/>
      <c r="AT72" s="239"/>
      <c r="AU72" s="180"/>
      <c r="AV72" s="180"/>
      <c r="AW72" s="239"/>
      <c r="AX72" s="180"/>
      <c r="AY72" s="180"/>
      <c r="AZ72" s="239"/>
    </row>
    <row r="73" spans="4:54" ht="12.75" hidden="1" customHeight="1">
      <c r="H73" s="126"/>
      <c r="I73" s="55"/>
      <c r="J73" s="40"/>
      <c r="K73" s="59"/>
      <c r="L73" s="46"/>
      <c r="M73" s="42"/>
      <c r="N73" s="42"/>
      <c r="O73" s="42"/>
      <c r="P73" s="55"/>
      <c r="Q73" s="51"/>
      <c r="R73" s="46"/>
      <c r="S73" s="46"/>
      <c r="T73" s="41"/>
      <c r="U73" s="41"/>
      <c r="V73" s="52"/>
      <c r="W73" s="50"/>
      <c r="X73" s="48"/>
      <c r="Y73" s="53"/>
      <c r="Z73" s="53"/>
      <c r="AA73" s="53"/>
      <c r="AB73" s="53"/>
      <c r="AC73" s="53"/>
      <c r="AD73" s="54"/>
      <c r="AE73" s="113"/>
      <c r="AN73" s="250"/>
      <c r="AO73" s="295"/>
      <c r="AP73" s="295"/>
      <c r="AQ73" s="237"/>
      <c r="AR73" s="238"/>
      <c r="AS73" s="295"/>
      <c r="AT73" s="239"/>
      <c r="AU73" s="180"/>
      <c r="AV73" s="180"/>
      <c r="AW73" s="239"/>
      <c r="AX73" s="180"/>
      <c r="AY73" s="180"/>
      <c r="AZ73" s="239"/>
      <c r="BA73" s="108"/>
      <c r="BB73" s="108"/>
    </row>
    <row r="74" spans="4:54" ht="15.75" hidden="1">
      <c r="H74" s="126"/>
      <c r="I74" s="55"/>
      <c r="J74" s="40"/>
      <c r="K74" s="59"/>
      <c r="L74" s="55"/>
      <c r="M74" s="42"/>
      <c r="N74" s="42"/>
      <c r="O74" s="42"/>
      <c r="P74" s="328" t="str">
        <f>IF(OR(V72="",V76="")=TRUE,"11º Classificado",IF(V72&gt;V76,P72,P76))</f>
        <v>11º Classificado</v>
      </c>
      <c r="Q74" s="328"/>
      <c r="R74" s="328"/>
      <c r="S74" s="328"/>
      <c r="T74" s="328"/>
      <c r="U74" s="328"/>
      <c r="V74" s="65">
        <v>39</v>
      </c>
      <c r="W74" s="66">
        <v>40</v>
      </c>
      <c r="X74" s="329" t="str">
        <f>IF(OR(W70="",W78="")=TRUE,"9º Classificado",IF(W70&gt;W78,P70,P78))</f>
        <v>9º Classificado</v>
      </c>
      <c r="Y74" s="330"/>
      <c r="Z74" s="330"/>
      <c r="AA74" s="330"/>
      <c r="AB74" s="330"/>
      <c r="AC74" s="330"/>
      <c r="AD74" s="54"/>
      <c r="AE74" s="113"/>
      <c r="AN74" s="250"/>
      <c r="AO74" s="295"/>
      <c r="AP74" s="295"/>
      <c r="AQ74" s="237"/>
      <c r="AR74" s="238"/>
      <c r="AS74" s="295"/>
      <c r="AT74" s="239"/>
      <c r="AU74" s="180"/>
      <c r="AV74" s="180"/>
      <c r="AW74" s="239"/>
      <c r="AX74" s="180"/>
      <c r="AY74" s="180"/>
      <c r="AZ74" s="239"/>
      <c r="BA74" s="108"/>
      <c r="BB74" s="108"/>
    </row>
    <row r="75" spans="4:54" ht="15" hidden="1">
      <c r="H75" s="126"/>
      <c r="I75" s="55"/>
      <c r="J75" s="40"/>
      <c r="K75" s="59"/>
      <c r="L75" s="55"/>
      <c r="M75" s="42"/>
      <c r="N75" s="42"/>
      <c r="O75" s="42"/>
      <c r="P75" s="55"/>
      <c r="Q75" s="40"/>
      <c r="R75" s="55"/>
      <c r="S75" s="55"/>
      <c r="T75" s="42"/>
      <c r="U75" s="42"/>
      <c r="V75" s="56"/>
      <c r="W75" s="50"/>
      <c r="X75" s="48"/>
      <c r="Y75" s="331"/>
      <c r="Z75" s="331"/>
      <c r="AA75" s="331"/>
      <c r="AB75" s="331"/>
      <c r="AC75" s="331"/>
      <c r="AD75" s="54"/>
      <c r="AE75" s="113"/>
      <c r="AN75" s="250"/>
      <c r="AO75" s="295"/>
      <c r="AP75" s="295"/>
      <c r="AQ75" s="237"/>
      <c r="AR75" s="238"/>
      <c r="AS75" s="295"/>
      <c r="AT75" s="239"/>
      <c r="AU75" s="180"/>
      <c r="AV75" s="180"/>
      <c r="AW75" s="239"/>
      <c r="AX75" s="180"/>
      <c r="AY75" s="180"/>
      <c r="AZ75" s="239"/>
      <c r="BA75" s="108"/>
      <c r="BB75" s="108"/>
    </row>
    <row r="76" spans="4:54" ht="15" hidden="1">
      <c r="H76" s="126"/>
      <c r="I76" s="317" t="str">
        <f>IF(R14="","3º  do Grupo C",R14)</f>
        <v>3º  do Grupo C</v>
      </c>
      <c r="J76" s="317"/>
      <c r="K76" s="318"/>
      <c r="L76" s="69"/>
      <c r="M76" s="69"/>
      <c r="N76" s="70"/>
      <c r="O76" s="38" t="str">
        <f>IF(COUNT(L76:N76)&lt;1,"",IF(SUM(IF(L76&gt;L80,1,0),IF(M76&gt;M80,1,0),IF(N76&gt;N80,1,0))&gt;2,"??",SUM(IF(L76&gt;L80,1,0),IF(M76&gt;M80,1,0),IF(N76&gt;N80,1,0))))</f>
        <v/>
      </c>
      <c r="P76" s="319" t="str">
        <f>IF(P78="Disputa 9º/10º Jogador2","Disputa 11º/12º  Jogador2",IF(P78=I76,I80,I76))</f>
        <v>Disputa 11º/12º  Jogador2</v>
      </c>
      <c r="Q76" s="320"/>
      <c r="R76" s="321"/>
      <c r="S76" s="69"/>
      <c r="T76" s="69"/>
      <c r="U76" s="69"/>
      <c r="V76" s="49" t="str">
        <f>IF(COUNT(S76:U76)&lt;1,"",IF(SUM(IF(S72&lt;S76,1,0),IF(T72&lt;T76,1,0),IF(U72&lt;U76,1,0))&gt;2,"??",SUM(IF(S72&lt;S76,1,0),IF(T72&lt;T76,1,0),IF(U72&lt;U76,1,0))))</f>
        <v/>
      </c>
      <c r="W76" s="50"/>
      <c r="X76" s="48"/>
      <c r="Y76" s="53"/>
      <c r="Z76" s="53"/>
      <c r="AA76" s="53"/>
      <c r="AB76" s="57"/>
      <c r="AC76" s="57"/>
      <c r="AD76" s="58"/>
      <c r="AE76" s="113"/>
      <c r="AN76" s="250"/>
      <c r="AO76" s="295"/>
      <c r="AP76" s="295"/>
      <c r="AQ76" s="237"/>
      <c r="AR76" s="238"/>
      <c r="AS76" s="295"/>
      <c r="AT76" s="239"/>
      <c r="AU76" s="180"/>
      <c r="AV76" s="180"/>
      <c r="AW76" s="239"/>
      <c r="AX76" s="180"/>
      <c r="AY76" s="180"/>
      <c r="AZ76" s="239"/>
      <c r="BA76" s="108"/>
      <c r="BB76" s="108"/>
    </row>
    <row r="77" spans="4:54" hidden="1">
      <c r="H77" s="126"/>
      <c r="I77" s="55"/>
      <c r="J77" s="40"/>
      <c r="K77" s="59"/>
      <c r="L77" s="55"/>
      <c r="M77" s="41"/>
      <c r="N77" s="41"/>
      <c r="O77" s="42"/>
      <c r="P77" s="36"/>
      <c r="Q77" s="51"/>
      <c r="R77" s="46"/>
      <c r="S77" s="55"/>
      <c r="T77" s="42"/>
      <c r="U77" s="42"/>
      <c r="V77" s="67"/>
      <c r="W77" s="50"/>
      <c r="X77" s="48"/>
      <c r="Y77" s="53"/>
      <c r="Z77" s="53"/>
      <c r="AA77" s="53"/>
      <c r="AB77" s="53"/>
      <c r="AC77" s="53"/>
      <c r="AD77" s="54"/>
      <c r="AE77" s="113"/>
    </row>
    <row r="78" spans="4:54" ht="15" hidden="1">
      <c r="H78" s="126"/>
      <c r="I78" s="55"/>
      <c r="J78" s="40"/>
      <c r="K78" s="59"/>
      <c r="L78" s="55"/>
      <c r="M78" s="42"/>
      <c r="N78" s="42"/>
      <c r="O78" s="64">
        <v>38</v>
      </c>
      <c r="P78" s="322" t="str">
        <f>IF(OR(O76="",O80="")=TRUE,"Disputa 9º/10º Jogador2",IF(O76&gt;O80,I76,I80))</f>
        <v>Disputa 9º/10º Jogador2</v>
      </c>
      <c r="Q78" s="317"/>
      <c r="R78" s="317"/>
      <c r="S78" s="318"/>
      <c r="T78" s="69"/>
      <c r="U78" s="69"/>
      <c r="V78" s="69"/>
      <c r="W78" s="45" t="str">
        <f>IF(COUNT(T78:V78)&lt;1,"",IF(SUM(IF(T70&lt;T78,1,0),IF(U70&lt;U78,1,0),IF(V70&lt;V78,1,0))&gt;2,"??",SUM(IF(T70&lt;T78,1,0),IF(U70&lt;U78,1,0),IF(V70&lt;V78,1,0))))</f>
        <v/>
      </c>
      <c r="X78" s="48"/>
      <c r="Y78" s="53"/>
      <c r="Z78" s="53"/>
      <c r="AA78" s="53"/>
      <c r="AB78" s="53"/>
      <c r="AC78" s="53"/>
      <c r="AD78" s="54"/>
      <c r="AE78" s="113"/>
    </row>
    <row r="79" spans="4:54" ht="15" hidden="1" customHeight="1">
      <c r="H79" s="126"/>
      <c r="I79" s="55"/>
      <c r="J79" s="40"/>
      <c r="K79" s="59"/>
      <c r="L79" s="55"/>
      <c r="M79" s="42"/>
      <c r="N79" s="42"/>
      <c r="O79" s="42"/>
      <c r="P79" s="36"/>
      <c r="Q79" s="40"/>
      <c r="R79" s="55"/>
      <c r="S79" s="46"/>
      <c r="T79" s="55"/>
      <c r="U79" s="55"/>
      <c r="V79" s="60"/>
      <c r="W79" s="53"/>
      <c r="X79" s="48"/>
      <c r="Y79" s="53"/>
      <c r="Z79" s="53"/>
      <c r="AA79" s="53"/>
      <c r="AB79" s="53"/>
      <c r="AC79" s="53"/>
      <c r="AD79" s="54"/>
      <c r="AE79" s="113"/>
    </row>
    <row r="80" spans="4:54" ht="15" hidden="1">
      <c r="H80" s="126"/>
      <c r="I80" s="317" t="str">
        <f>IF(Y14="","3º  do Grupo D",Y14)</f>
        <v>3º  do Grupo D</v>
      </c>
      <c r="J80" s="317"/>
      <c r="K80" s="318"/>
      <c r="L80" s="69"/>
      <c r="M80" s="69"/>
      <c r="N80" s="70"/>
      <c r="O80" s="35" t="str">
        <f>IF(COUNT(L80:N80)&lt;1,"",IF(SUM(IF(L76&lt;L80,1,0),IF(M76&lt;M80,1,0),IF(N76&lt;N80,1,0))&gt;2,"??",SUM(IF(L76&lt;L80,1,0),IF(M76&lt;M80,1,0),IF(N76&lt;N80,1,0))))</f>
        <v/>
      </c>
      <c r="P80" s="36"/>
      <c r="Q80" s="40"/>
      <c r="R80" s="55"/>
      <c r="S80" s="55"/>
      <c r="T80" s="55"/>
      <c r="U80" s="55"/>
      <c r="V80" s="55"/>
      <c r="W80" s="54"/>
      <c r="X80" s="68"/>
      <c r="Y80" s="54"/>
      <c r="Z80" s="54"/>
      <c r="AA80" s="54"/>
      <c r="AB80" s="54"/>
      <c r="AC80" s="54"/>
      <c r="AD80" s="54"/>
      <c r="AE80" s="113"/>
    </row>
    <row r="81" spans="4:54" hidden="1">
      <c r="H81" s="128"/>
      <c r="I81" s="168"/>
      <c r="J81" s="169"/>
      <c r="K81" s="168"/>
      <c r="L81" s="170"/>
      <c r="M81" s="168"/>
      <c r="N81" s="168"/>
      <c r="O81" s="168"/>
      <c r="P81" s="168"/>
      <c r="Q81" s="169"/>
      <c r="R81" s="168"/>
      <c r="S81" s="168"/>
      <c r="T81" s="168"/>
      <c r="U81" s="168"/>
      <c r="V81" s="168"/>
      <c r="W81" s="122"/>
      <c r="X81" s="123"/>
      <c r="Y81" s="122"/>
      <c r="Z81" s="122"/>
      <c r="AA81" s="122"/>
      <c r="AB81" s="122"/>
      <c r="AC81" s="122"/>
      <c r="AD81" s="122"/>
      <c r="AE81" s="124"/>
    </row>
    <row r="82" spans="4:54" ht="6" hidden="1" customHeight="1">
      <c r="H82" s="54"/>
    </row>
    <row r="83" spans="4:54" hidden="1">
      <c r="D83" s="54"/>
      <c r="H83" s="125"/>
      <c r="I83" s="61"/>
      <c r="J83" s="167"/>
      <c r="K83" s="61"/>
      <c r="L83" s="61"/>
      <c r="M83" s="61"/>
      <c r="N83" s="61"/>
      <c r="O83" s="61"/>
      <c r="P83" s="61"/>
      <c r="Q83" s="167"/>
      <c r="R83" s="61"/>
      <c r="S83" s="61"/>
      <c r="T83" s="61"/>
      <c r="U83" s="61"/>
      <c r="V83" s="61"/>
      <c r="W83" s="61"/>
      <c r="X83" s="167"/>
      <c r="Y83" s="61"/>
      <c r="Z83" s="61"/>
      <c r="AA83" s="61"/>
      <c r="AB83" s="61"/>
      <c r="AC83" s="61"/>
      <c r="AD83" s="61"/>
      <c r="AE83" s="3"/>
      <c r="AN83" s="250"/>
      <c r="AO83" s="295"/>
      <c r="AP83" s="327"/>
      <c r="AQ83" s="327"/>
      <c r="AR83" s="327"/>
      <c r="AS83" s="327"/>
      <c r="AT83" s="239"/>
      <c r="AU83" s="180"/>
      <c r="AV83" s="180"/>
      <c r="AW83" s="239"/>
      <c r="AX83" s="180"/>
      <c r="AY83" s="180"/>
      <c r="AZ83" s="239"/>
    </row>
    <row r="84" spans="4:54" hidden="1">
      <c r="D84" s="54"/>
      <c r="H84" s="126"/>
      <c r="I84" s="336" t="s">
        <v>231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68"/>
      <c r="Y84" s="337" t="s">
        <v>0</v>
      </c>
      <c r="Z84" s="338"/>
      <c r="AA84" s="338"/>
      <c r="AB84" s="338"/>
      <c r="AC84" s="338"/>
      <c r="AD84" s="339"/>
      <c r="AE84" s="113"/>
      <c r="AN84" s="250"/>
      <c r="AO84" s="295"/>
      <c r="AP84" s="327"/>
      <c r="AQ84" s="327"/>
      <c r="AR84" s="327"/>
      <c r="AS84" s="327"/>
      <c r="AT84" s="239"/>
      <c r="AU84" s="180"/>
      <c r="AV84" s="180"/>
      <c r="AW84" s="239"/>
      <c r="AX84" s="180"/>
      <c r="AY84" s="180"/>
      <c r="AZ84" s="239"/>
    </row>
    <row r="85" spans="4:54" ht="13.5" hidden="1" thickBot="1">
      <c r="D85" s="54"/>
      <c r="H85" s="12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68"/>
      <c r="Y85" s="340"/>
      <c r="Z85" s="341"/>
      <c r="AA85" s="341"/>
      <c r="AB85" s="341"/>
      <c r="AC85" s="341"/>
      <c r="AD85" s="342"/>
      <c r="AE85" s="113"/>
      <c r="AN85" s="250"/>
      <c r="AO85" s="295"/>
      <c r="AP85" s="327"/>
      <c r="AQ85" s="327"/>
      <c r="AR85" s="327"/>
      <c r="AS85" s="327"/>
      <c r="AT85" s="239"/>
      <c r="AU85" s="180"/>
      <c r="AV85" s="180"/>
      <c r="AW85" s="239"/>
      <c r="AX85" s="180"/>
      <c r="AY85" s="180"/>
      <c r="AZ85" s="239"/>
    </row>
    <row r="86" spans="4:54" ht="15.75" hidden="1">
      <c r="H86" s="126"/>
      <c r="I86" s="317" t="str">
        <f>IF(D15="","4º  do Grupo A",D15)</f>
        <v>4º  do Grupo A</v>
      </c>
      <c r="J86" s="317"/>
      <c r="K86" s="318"/>
      <c r="L86" s="69"/>
      <c r="M86" s="69"/>
      <c r="N86" s="70"/>
      <c r="O86" s="38" t="str">
        <f>IF(COUNT(L86:N86)&lt;1,"",IF(SUM(IF(L86&gt;L90,1,0),IF(M86&gt;M90,1,0),IF(N86&gt;N90,1,0))&gt;2,"??",SUM(IF(L86&gt;L90,1,0),IF(M86&gt;M90,1,0),IF(N86&gt;N90,1,0))))</f>
        <v/>
      </c>
      <c r="P86" s="55"/>
      <c r="Q86" s="40"/>
      <c r="R86" s="55"/>
      <c r="S86" s="55"/>
      <c r="T86" s="55"/>
      <c r="U86" s="55"/>
      <c r="V86" s="55"/>
      <c r="W86" s="54"/>
      <c r="X86" s="68"/>
      <c r="Y86" s="343" t="str">
        <f>IF(X92="13º Classificado","",X92)</f>
        <v/>
      </c>
      <c r="Z86" s="344"/>
      <c r="AA86" s="344"/>
      <c r="AB86" s="344"/>
      <c r="AC86" s="344"/>
      <c r="AD86" s="39" t="s">
        <v>232</v>
      </c>
      <c r="AE86" s="113"/>
      <c r="AN86" s="250"/>
      <c r="AO86" s="295"/>
      <c r="AP86" s="327"/>
      <c r="AQ86" s="327"/>
      <c r="AR86" s="327"/>
      <c r="AS86" s="327"/>
      <c r="AT86" s="239"/>
      <c r="AU86" s="180"/>
      <c r="AV86" s="180"/>
      <c r="AW86" s="239"/>
      <c r="AX86" s="180"/>
      <c r="AY86" s="180"/>
      <c r="AZ86" s="239"/>
    </row>
    <row r="87" spans="4:54" ht="15" hidden="1" customHeight="1">
      <c r="H87" s="126"/>
      <c r="I87" s="55"/>
      <c r="J87" s="40"/>
      <c r="K87" s="59"/>
      <c r="L87" s="55"/>
      <c r="M87" s="41"/>
      <c r="N87" s="41"/>
      <c r="O87" s="42"/>
      <c r="P87" s="36"/>
      <c r="Q87" s="40"/>
      <c r="R87" s="55"/>
      <c r="S87" s="55"/>
      <c r="T87" s="55"/>
      <c r="U87" s="55"/>
      <c r="V87" s="60"/>
      <c r="W87" s="53"/>
      <c r="X87" s="48"/>
      <c r="Y87" s="332" t="str">
        <f>IF(Y86="","",IF(Y86=P88,P96,P88))</f>
        <v/>
      </c>
      <c r="Z87" s="333" t="e">
        <f>IF(#REF!="","",IF(#REF!=W87,"","(2º) "))</f>
        <v>#REF!</v>
      </c>
      <c r="AA87" s="333" t="e">
        <f>IF(#REF!="","",IF(#REF!=X87,"","(2º) "))</f>
        <v>#REF!</v>
      </c>
      <c r="AB87" s="333" t="e">
        <f>IF(#REF!="","",IF(#REF!=Y87,"","(2º) "))</f>
        <v>#REF!</v>
      </c>
      <c r="AC87" s="333" t="e">
        <f>IF(#REF!="","",IF(#REF!=Z87,"","(2º) "))</f>
        <v>#REF!</v>
      </c>
      <c r="AD87" s="43" t="s">
        <v>233</v>
      </c>
      <c r="AE87" s="113"/>
      <c r="AN87" s="250"/>
      <c r="AO87" s="295"/>
      <c r="AP87" s="327"/>
      <c r="AQ87" s="327"/>
      <c r="AR87" s="327"/>
      <c r="AS87" s="327"/>
      <c r="AT87" s="239"/>
      <c r="AU87" s="180"/>
      <c r="AV87" s="180"/>
      <c r="AW87" s="239"/>
      <c r="AX87" s="180"/>
      <c r="AY87" s="180"/>
      <c r="AZ87" s="239"/>
    </row>
    <row r="88" spans="4:54" ht="15" hidden="1" customHeight="1">
      <c r="H88" s="126"/>
      <c r="I88" s="55"/>
      <c r="J88" s="40"/>
      <c r="K88" s="59"/>
      <c r="L88" s="55"/>
      <c r="M88" s="42"/>
      <c r="N88" s="42"/>
      <c r="O88" s="64">
        <v>41</v>
      </c>
      <c r="P88" s="322" t="str">
        <f>IF(OR(O86="",O90="")=TRUE,"Disputa 13º/14º Jogador1",IF(O86&gt;O90,I86,I90))</f>
        <v>Disputa 13º/14º Jogador1</v>
      </c>
      <c r="Q88" s="317"/>
      <c r="R88" s="317"/>
      <c r="S88" s="318"/>
      <c r="T88" s="69"/>
      <c r="U88" s="69"/>
      <c r="V88" s="69"/>
      <c r="W88" s="45" t="str">
        <f>IF(COUNT(T88:V88)&lt;1,"",IF(SUM(IF(T88&gt;T96,1,0),IF(U88&gt;U96,1,0),IF(V88&gt;V96,1,0))&gt;2,"??",SUM(IF(T88&gt;T96,1,0),IF(U88&gt;U96,1,0),IF(V88&gt;V96,1,0))))</f>
        <v/>
      </c>
      <c r="X88" s="48"/>
      <c r="Y88" s="332" t="str">
        <f>IF(P92="15º Classificado","",P92)</f>
        <v/>
      </c>
      <c r="Z88" s="333"/>
      <c r="AA88" s="333"/>
      <c r="AB88" s="333"/>
      <c r="AC88" s="333"/>
      <c r="AD88" s="43" t="s">
        <v>234</v>
      </c>
      <c r="AE88" s="113"/>
      <c r="AN88" s="250"/>
      <c r="AO88" s="295"/>
      <c r="AP88" s="327"/>
      <c r="AQ88" s="327"/>
      <c r="AR88" s="327"/>
      <c r="AS88" s="327"/>
      <c r="AT88" s="239"/>
      <c r="AU88" s="180"/>
      <c r="AV88" s="180"/>
      <c r="AW88" s="239"/>
      <c r="AX88" s="180"/>
      <c r="AY88" s="180"/>
      <c r="AZ88" s="239"/>
    </row>
    <row r="89" spans="4:54" ht="15.75" hidden="1" thickBot="1">
      <c r="H89" s="126"/>
      <c r="I89" s="55"/>
      <c r="J89" s="40"/>
      <c r="K89" s="59"/>
      <c r="L89" s="55"/>
      <c r="M89" s="42"/>
      <c r="N89" s="42"/>
      <c r="O89" s="42"/>
      <c r="P89" s="36"/>
      <c r="Q89" s="40"/>
      <c r="R89" s="55"/>
      <c r="S89" s="46"/>
      <c r="T89" s="42"/>
      <c r="U89" s="42"/>
      <c r="V89" s="67"/>
      <c r="W89" s="47"/>
      <c r="X89" s="48"/>
      <c r="Y89" s="334" t="str">
        <f>IF(Y88="","",IF(Y88=P90,P94,P90))</f>
        <v/>
      </c>
      <c r="Z89" s="335"/>
      <c r="AA89" s="335"/>
      <c r="AB89" s="335"/>
      <c r="AC89" s="335"/>
      <c r="AD89" s="164" t="s">
        <v>235</v>
      </c>
      <c r="AE89" s="113"/>
      <c r="AN89" s="250"/>
      <c r="AO89" s="295"/>
      <c r="AP89" s="327"/>
      <c r="AQ89" s="327"/>
      <c r="AR89" s="327"/>
      <c r="AS89" s="327"/>
      <c r="AT89" s="239"/>
      <c r="AU89" s="180"/>
      <c r="AV89" s="180"/>
      <c r="AW89" s="239"/>
      <c r="AX89" s="180"/>
      <c r="AY89" s="180"/>
      <c r="AZ89" s="239"/>
    </row>
    <row r="90" spans="4:54" ht="15" hidden="1">
      <c r="H90" s="126"/>
      <c r="I90" s="317" t="str">
        <f>IF(K15="","4º  do Grupo B",K15)</f>
        <v>4º  do Grupo B</v>
      </c>
      <c r="J90" s="317"/>
      <c r="K90" s="318"/>
      <c r="L90" s="69"/>
      <c r="M90" s="69"/>
      <c r="N90" s="70"/>
      <c r="O90" s="35" t="str">
        <f>IF(COUNT(L90:N90)&lt;1,"",IF(SUM(IF(L86&lt;L90,1,0),IF(M86&lt;M90,1,0),IF(N86&lt;N90,1,0))&gt;2,"??",SUM(IF(L86&lt;L90,1,0),IF(M86&lt;M90,1,0),IF(N86&lt;N90,1,0))))</f>
        <v/>
      </c>
      <c r="P90" s="324" t="str">
        <f>IF(P88="Disputa 13º/14º Jogador1","Disputa 15º/16º  Jogador1",IF(P88=I86,I90,I86))</f>
        <v>Disputa 15º/16º  Jogador1</v>
      </c>
      <c r="Q90" s="325"/>
      <c r="R90" s="326"/>
      <c r="S90" s="69"/>
      <c r="T90" s="69"/>
      <c r="U90" s="69"/>
      <c r="V90" s="49" t="str">
        <f>IF(COUNT(S90:U90)&lt;1,"",IF(SUM(IF(S90&gt;S94,1,0),IF(T90&gt;T94,1,0),IF(U90&gt;U94,1,0))&gt;2,"??",SUM(IF(S90&gt;S94,1,0),IF(T90&gt;T94,1,0),IF(U90&gt;U94,1,0))))</f>
        <v/>
      </c>
      <c r="W90" s="50"/>
      <c r="X90" s="48"/>
      <c r="Y90" s="53"/>
      <c r="Z90" s="53"/>
      <c r="AA90" s="53"/>
      <c r="AB90" s="53"/>
      <c r="AC90" s="53"/>
      <c r="AD90" s="54"/>
      <c r="AE90" s="113"/>
      <c r="AN90" s="250"/>
      <c r="AO90" s="295"/>
      <c r="AP90" s="327"/>
      <c r="AQ90" s="327"/>
      <c r="AR90" s="327"/>
      <c r="AS90" s="327"/>
      <c r="AT90" s="239"/>
      <c r="AU90" s="180"/>
      <c r="AV90" s="180"/>
      <c r="AW90" s="239"/>
      <c r="AX90" s="180"/>
      <c r="AY90" s="180"/>
      <c r="AZ90" s="239"/>
    </row>
    <row r="91" spans="4:54" ht="12.75" hidden="1" customHeight="1">
      <c r="H91" s="126"/>
      <c r="I91" s="55"/>
      <c r="J91" s="40"/>
      <c r="K91" s="59"/>
      <c r="L91" s="46"/>
      <c r="M91" s="42"/>
      <c r="N91" s="42"/>
      <c r="O91" s="42"/>
      <c r="P91" s="55"/>
      <c r="Q91" s="51"/>
      <c r="R91" s="46"/>
      <c r="S91" s="46"/>
      <c r="T91" s="41"/>
      <c r="U91" s="41"/>
      <c r="V91" s="52"/>
      <c r="W91" s="50"/>
      <c r="X91" s="48"/>
      <c r="Y91" s="53"/>
      <c r="Z91" s="53"/>
      <c r="AA91" s="53"/>
      <c r="AB91" s="53"/>
      <c r="AC91" s="53"/>
      <c r="AD91" s="54"/>
      <c r="AE91" s="113"/>
      <c r="AN91" s="250"/>
      <c r="AO91" s="295"/>
      <c r="AP91" s="295"/>
      <c r="AQ91" s="237"/>
      <c r="AR91" s="238"/>
      <c r="AS91" s="295"/>
      <c r="AT91" s="239"/>
      <c r="AU91" s="180"/>
      <c r="AV91" s="180"/>
      <c r="AW91" s="239"/>
      <c r="AX91" s="180"/>
      <c r="AY91" s="180"/>
      <c r="AZ91" s="239"/>
      <c r="BA91" s="108"/>
      <c r="BB91" s="108"/>
    </row>
    <row r="92" spans="4:54" ht="15.75" hidden="1">
      <c r="H92" s="126"/>
      <c r="I92" s="55"/>
      <c r="J92" s="40"/>
      <c r="K92" s="59"/>
      <c r="L92" s="55"/>
      <c r="M92" s="42"/>
      <c r="N92" s="42"/>
      <c r="O92" s="42"/>
      <c r="P92" s="328" t="str">
        <f>IF(OR(V90="",V94="")=TRUE,"15º Classificado",IF(V90&gt;V94,P90,P94))</f>
        <v>15º Classificado</v>
      </c>
      <c r="Q92" s="328"/>
      <c r="R92" s="328"/>
      <c r="S92" s="328"/>
      <c r="T92" s="328"/>
      <c r="U92" s="328"/>
      <c r="V92" s="65">
        <v>43</v>
      </c>
      <c r="W92" s="66">
        <v>44</v>
      </c>
      <c r="X92" s="329" t="str">
        <f>IF(OR(W88="",W96="")=TRUE,"13º Classificado",IF(W88&gt;W96,P88,P96))</f>
        <v>13º Classificado</v>
      </c>
      <c r="Y92" s="330"/>
      <c r="Z92" s="330"/>
      <c r="AA92" s="330"/>
      <c r="AB92" s="330"/>
      <c r="AC92" s="330"/>
      <c r="AD92" s="54"/>
      <c r="AE92" s="113"/>
      <c r="AN92" s="250"/>
      <c r="AO92" s="295"/>
      <c r="AP92" s="295"/>
      <c r="AQ92" s="237"/>
      <c r="AR92" s="238"/>
      <c r="AS92" s="295"/>
      <c r="AT92" s="239"/>
      <c r="AU92" s="180"/>
      <c r="AV92" s="180"/>
      <c r="AW92" s="239"/>
      <c r="AX92" s="180"/>
      <c r="AY92" s="180"/>
      <c r="AZ92" s="239"/>
      <c r="BA92" s="108"/>
      <c r="BB92" s="108"/>
    </row>
    <row r="93" spans="4:54" ht="15" hidden="1">
      <c r="H93" s="126"/>
      <c r="I93" s="55"/>
      <c r="J93" s="40"/>
      <c r="K93" s="59"/>
      <c r="L93" s="55"/>
      <c r="M93" s="42"/>
      <c r="N93" s="42"/>
      <c r="O93" s="42"/>
      <c r="P93" s="55"/>
      <c r="Q93" s="40"/>
      <c r="R93" s="55"/>
      <c r="S93" s="55"/>
      <c r="T93" s="42"/>
      <c r="U93" s="42"/>
      <c r="V93" s="56"/>
      <c r="W93" s="50"/>
      <c r="X93" s="48"/>
      <c r="Y93" s="331"/>
      <c r="Z93" s="331"/>
      <c r="AA93" s="331"/>
      <c r="AB93" s="331"/>
      <c r="AC93" s="331"/>
      <c r="AD93" s="54"/>
      <c r="AE93" s="113"/>
      <c r="AN93" s="250"/>
      <c r="AO93" s="295"/>
      <c r="AP93" s="295"/>
      <c r="AQ93" s="237"/>
      <c r="AR93" s="238"/>
      <c r="AS93" s="295"/>
      <c r="AT93" s="239"/>
      <c r="AU93" s="180"/>
      <c r="AV93" s="180"/>
      <c r="AW93" s="239"/>
      <c r="AX93" s="180"/>
      <c r="AY93" s="180"/>
      <c r="AZ93" s="239"/>
      <c r="BA93" s="108"/>
      <c r="BB93" s="108"/>
    </row>
    <row r="94" spans="4:54" ht="15" hidden="1">
      <c r="H94" s="126"/>
      <c r="I94" s="317" t="str">
        <f>IF(R15="","4º  do Grupo C",R15)</f>
        <v>4º  do Grupo C</v>
      </c>
      <c r="J94" s="317"/>
      <c r="K94" s="318"/>
      <c r="L94" s="69"/>
      <c r="M94" s="69"/>
      <c r="N94" s="70"/>
      <c r="O94" s="38" t="str">
        <f>IF(COUNT(L94:N94)&lt;1,"",IF(SUM(IF(L94&gt;L98,1,0),IF(M94&gt;M98,1,0),IF(N94&gt;N98,1,0))&gt;2,"??",SUM(IF(L94&gt;L98,1,0),IF(M94&gt;M98,1,0),IF(N94&gt;N98,1,0))))</f>
        <v/>
      </c>
      <c r="P94" s="319" t="str">
        <f>IF(P96="Disputa 13º/14º Jogador2","Disputa 15º/16º  Jogador2",IF(P96=I94,I98,I94))</f>
        <v>Disputa 15º/16º  Jogador2</v>
      </c>
      <c r="Q94" s="320"/>
      <c r="R94" s="321"/>
      <c r="S94" s="69"/>
      <c r="T94" s="69"/>
      <c r="U94" s="69"/>
      <c r="V94" s="49" t="str">
        <f>IF(COUNT(S94:U94)&lt;1,"",IF(SUM(IF(S90&lt;S94,1,0),IF(T90&lt;T94,1,0),IF(U90&lt;U94,1,0))&gt;2,"??",SUM(IF(S90&lt;S94,1,0),IF(T90&lt;T94,1,0),IF(U90&lt;U94,1,0))))</f>
        <v/>
      </c>
      <c r="W94" s="50"/>
      <c r="X94" s="48"/>
      <c r="Y94" s="53"/>
      <c r="Z94" s="53"/>
      <c r="AA94" s="53"/>
      <c r="AB94" s="57"/>
      <c r="AC94" s="57"/>
      <c r="AD94" s="58"/>
      <c r="AE94" s="113"/>
      <c r="AN94" s="250"/>
      <c r="AO94" s="295"/>
      <c r="AP94" s="295"/>
      <c r="AQ94" s="237"/>
      <c r="AR94" s="238"/>
      <c r="AS94" s="295"/>
      <c r="AT94" s="239"/>
      <c r="AU94" s="180"/>
      <c r="AV94" s="180"/>
      <c r="AW94" s="239"/>
      <c r="AX94" s="180"/>
      <c r="AY94" s="180"/>
      <c r="AZ94" s="239"/>
      <c r="BA94" s="108"/>
      <c r="BB94" s="108"/>
    </row>
    <row r="95" spans="4:54" hidden="1">
      <c r="H95" s="126"/>
      <c r="I95" s="55"/>
      <c r="J95" s="40"/>
      <c r="K95" s="59"/>
      <c r="L95" s="55"/>
      <c r="M95" s="41"/>
      <c r="N95" s="41"/>
      <c r="O95" s="42"/>
      <c r="P95" s="36"/>
      <c r="Q95" s="51"/>
      <c r="R95" s="46"/>
      <c r="S95" s="55"/>
      <c r="T95" s="42"/>
      <c r="U95" s="42"/>
      <c r="V95" s="67"/>
      <c r="W95" s="50"/>
      <c r="X95" s="48"/>
      <c r="Y95" s="53"/>
      <c r="Z95" s="53"/>
      <c r="AA95" s="53"/>
      <c r="AB95" s="53"/>
      <c r="AC95" s="53"/>
      <c r="AD95" s="54"/>
      <c r="AE95" s="113"/>
    </row>
    <row r="96" spans="4:54" ht="15" hidden="1">
      <c r="H96" s="126"/>
      <c r="I96" s="55"/>
      <c r="J96" s="40"/>
      <c r="K96" s="59"/>
      <c r="L96" s="55"/>
      <c r="M96" s="42"/>
      <c r="N96" s="42"/>
      <c r="O96" s="64">
        <v>42</v>
      </c>
      <c r="P96" s="322" t="str">
        <f>IF(OR(O94="",O98="")=TRUE,"Disputa 13º/14º Jogador2",IF(O94&gt;O98,I94,I98))</f>
        <v>Disputa 13º/14º Jogador2</v>
      </c>
      <c r="Q96" s="317"/>
      <c r="R96" s="317"/>
      <c r="S96" s="318"/>
      <c r="T96" s="69"/>
      <c r="U96" s="69"/>
      <c r="V96" s="69"/>
      <c r="W96" s="45" t="str">
        <f>IF(COUNT(T96:V96)&lt;1,"",IF(SUM(IF(T88&lt;T96,1,0),IF(U88&lt;U96,1,0),IF(V88&lt;V96,1,0))&gt;2,"??",SUM(IF(T88&lt;T96,1,0),IF(U88&lt;U96,1,0),IF(V88&lt;V96,1,0))))</f>
        <v/>
      </c>
      <c r="X96" s="48"/>
      <c r="Y96" s="53"/>
      <c r="Z96" s="53"/>
      <c r="AA96" s="53"/>
      <c r="AB96" s="53"/>
      <c r="AC96" s="53"/>
      <c r="AD96" s="54"/>
      <c r="AE96" s="113"/>
    </row>
    <row r="97" spans="8:94" ht="15" hidden="1" customHeight="1">
      <c r="H97" s="126"/>
      <c r="I97" s="55"/>
      <c r="J97" s="40"/>
      <c r="K97" s="59"/>
      <c r="L97" s="55"/>
      <c r="M97" s="42"/>
      <c r="N97" s="42"/>
      <c r="O97" s="42"/>
      <c r="P97" s="36"/>
      <c r="Q97" s="40"/>
      <c r="R97" s="55"/>
      <c r="S97" s="46"/>
      <c r="T97" s="55"/>
      <c r="U97" s="55"/>
      <c r="V97" s="60"/>
      <c r="W97" s="53"/>
      <c r="X97" s="48"/>
      <c r="Y97" s="53"/>
      <c r="Z97" s="53"/>
      <c r="AA97" s="53"/>
      <c r="AB97" s="53"/>
      <c r="AC97" s="53"/>
      <c r="AD97" s="54"/>
      <c r="AE97" s="113"/>
    </row>
    <row r="98" spans="8:94" ht="15" hidden="1">
      <c r="H98" s="126"/>
      <c r="I98" s="317" t="str">
        <f>IF(Y15="","4º  do Grupo D",Y15)</f>
        <v>4º  do Grupo D</v>
      </c>
      <c r="J98" s="317"/>
      <c r="K98" s="318"/>
      <c r="L98" s="69"/>
      <c r="M98" s="69"/>
      <c r="N98" s="70"/>
      <c r="O98" s="35" t="str">
        <f>IF(COUNT(L98:N98)&lt;1,"",IF(SUM(IF(L94&lt;L98,1,0),IF(M94&lt;M98,1,0),IF(N94&lt;N98,1,0))&gt;2,"??",SUM(IF(L94&lt;L98,1,0),IF(M94&lt;M98,1,0),IF(N94&lt;N98,1,0))))</f>
        <v/>
      </c>
      <c r="P98" s="36"/>
      <c r="Q98" s="40"/>
      <c r="R98" s="55"/>
      <c r="S98" s="55"/>
      <c r="T98" s="55"/>
      <c r="U98" s="55"/>
      <c r="V98" s="55"/>
      <c r="W98" s="54"/>
      <c r="X98" s="68"/>
      <c r="Y98" s="54"/>
      <c r="Z98" s="54"/>
      <c r="AA98" s="54"/>
      <c r="AB98" s="54"/>
      <c r="AC98" s="54"/>
      <c r="AD98" s="54"/>
      <c r="AE98" s="113"/>
    </row>
    <row r="99" spans="8:94" hidden="1">
      <c r="H99" s="128"/>
      <c r="I99" s="168"/>
      <c r="J99" s="169"/>
      <c r="K99" s="168"/>
      <c r="L99" s="170"/>
      <c r="M99" s="168"/>
      <c r="N99" s="168"/>
      <c r="O99" s="168"/>
      <c r="P99" s="168"/>
      <c r="Q99" s="169"/>
      <c r="R99" s="168"/>
      <c r="S99" s="168"/>
      <c r="T99" s="168"/>
      <c r="U99" s="168"/>
      <c r="V99" s="168"/>
      <c r="W99" s="122"/>
      <c r="X99" s="123"/>
      <c r="Y99" s="122"/>
      <c r="Z99" s="122"/>
      <c r="AA99" s="122"/>
      <c r="AB99" s="122"/>
      <c r="AC99" s="122"/>
      <c r="AD99" s="122"/>
      <c r="AE99" s="124"/>
    </row>
    <row r="100" spans="8:94" ht="48.75" hidden="1" customHeight="1" thickBot="1"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3"/>
      <c r="BY100" s="323"/>
      <c r="BZ100" s="323"/>
      <c r="CA100" s="323"/>
      <c r="CB100" s="323"/>
      <c r="CC100" s="323"/>
      <c r="CD100" s="323"/>
      <c r="CE100" s="323"/>
      <c r="CF100" s="323"/>
      <c r="CG100" s="323"/>
      <c r="CH100" s="323"/>
    </row>
    <row r="101" spans="8:94" ht="64.5" hidden="1" customHeight="1" thickBot="1">
      <c r="BA101" s="87"/>
      <c r="BB101" s="315" t="str">
        <f>IF(BC102="","",CONCATENATE(VLOOKUP(BC102,$CJ$102:$CP$145,2,FALSE),"  -  ",VLOOKUP(BC102,$CJ$102:$CP$145,3,FALSE),,"  -  ",VLOOKUP(BC102,$CJ$102:$CP$145,4,FALSE),"  -  ",VLOOKUP(BC102,$CJ$102:$CP$145,5,FALSE)))</f>
        <v>Iniciados  -  Singulares  -  Femininos  -  Grupo A</v>
      </c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76"/>
      <c r="CJ101" s="132" t="s">
        <v>27</v>
      </c>
      <c r="CK101" s="132" t="s">
        <v>28</v>
      </c>
      <c r="CL101" s="132" t="s">
        <v>30</v>
      </c>
      <c r="CM101" s="132" t="s">
        <v>29</v>
      </c>
      <c r="CN101" s="132" t="s">
        <v>43</v>
      </c>
      <c r="CO101" s="132" t="s">
        <v>33</v>
      </c>
      <c r="CP101" s="132" t="s">
        <v>34</v>
      </c>
    </row>
    <row r="102" spans="8:94" ht="30" hidden="1" customHeight="1">
      <c r="BA102" s="88"/>
      <c r="BB102" s="89" t="s">
        <v>26</v>
      </c>
      <c r="BC102" s="137">
        <f>IF($AG$27="","",$AG$27)</f>
        <v>1</v>
      </c>
      <c r="BD102" s="84"/>
      <c r="BE102" s="84"/>
      <c r="BF102" s="84"/>
      <c r="BG102" s="84"/>
      <c r="BH102" s="84"/>
      <c r="BI102" s="84"/>
      <c r="BJ102" s="251" t="s">
        <v>65</v>
      </c>
      <c r="BK102" s="84"/>
      <c r="BL102" s="84"/>
      <c r="BM102" s="252"/>
      <c r="BN102" s="253"/>
      <c r="BO102" s="90"/>
      <c r="BP102" s="90"/>
      <c r="BQ102" s="90"/>
      <c r="BR102" s="91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92"/>
      <c r="CJ102" s="133">
        <f>$C$16</f>
        <v>1</v>
      </c>
      <c r="CK102" s="134" t="str">
        <f t="shared" ref="CK102:CK145" si="9">$H$2</f>
        <v>Iniciados</v>
      </c>
      <c r="CL102" s="134" t="str">
        <f t="shared" ref="CL102:CL145" si="10">$H$3</f>
        <v>Singulares</v>
      </c>
      <c r="CM102" s="134" t="str">
        <f t="shared" ref="CM102:CM145" si="11">$Q$3</f>
        <v>Femininos</v>
      </c>
      <c r="CN102" s="134" t="str">
        <f>$C$5</f>
        <v>Grupo A</v>
      </c>
      <c r="CO102" s="134" t="str">
        <f>$D$16</f>
        <v>Joana Eduardo (DSRLisboa)</v>
      </c>
      <c r="CP102" s="134" t="str">
        <f>$D$17</f>
        <v/>
      </c>
    </row>
    <row r="103" spans="8:94" ht="7.5" hidden="1" customHeight="1">
      <c r="BA103" s="88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92"/>
      <c r="CJ103" s="135">
        <f>$C$18</f>
        <v>2</v>
      </c>
      <c r="CK103" s="135" t="str">
        <f t="shared" si="9"/>
        <v>Iniciados</v>
      </c>
      <c r="CL103" s="135" t="str">
        <f t="shared" si="10"/>
        <v>Singulares</v>
      </c>
      <c r="CM103" s="135" t="str">
        <f t="shared" si="11"/>
        <v>Femininos</v>
      </c>
      <c r="CN103" s="135" t="str">
        <f>$C$5</f>
        <v>Grupo A</v>
      </c>
      <c r="CO103" s="135" t="str">
        <f>$D$18</f>
        <v>Aida Nunes (DSRNorte)</v>
      </c>
      <c r="CP103" s="135" t="str">
        <f>$D$19</f>
        <v/>
      </c>
    </row>
    <row r="104" spans="8:94" ht="17.25" hidden="1" customHeight="1" thickBot="1">
      <c r="BA104" s="88"/>
      <c r="BB104" s="316" t="s">
        <v>35</v>
      </c>
      <c r="BC104" s="316"/>
      <c r="BD104" s="93" t="s">
        <v>21</v>
      </c>
      <c r="BE104" s="93"/>
      <c r="BF104" s="93"/>
      <c r="BG104" s="93" t="s">
        <v>22</v>
      </c>
      <c r="BH104" s="93"/>
      <c r="BI104" s="93"/>
      <c r="BJ104" s="93" t="s">
        <v>23</v>
      </c>
      <c r="BK104" s="93"/>
      <c r="BL104" s="93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92"/>
      <c r="CJ104" s="135">
        <f>$J$16</f>
        <v>3</v>
      </c>
      <c r="CK104" s="135" t="str">
        <f t="shared" si="9"/>
        <v>Iniciados</v>
      </c>
      <c r="CL104" s="135" t="str">
        <f t="shared" si="10"/>
        <v>Singulares</v>
      </c>
      <c r="CM104" s="135" t="str">
        <f t="shared" si="11"/>
        <v>Femininos</v>
      </c>
      <c r="CN104" s="135" t="str">
        <f>$J$5</f>
        <v>Grupo B</v>
      </c>
      <c r="CO104" s="135" t="str">
        <f>$K$16</f>
        <v>Patrícia Silva (DSRAlentejo)</v>
      </c>
      <c r="CP104" s="135" t="str">
        <f>$K$17</f>
        <v/>
      </c>
    </row>
    <row r="105" spans="8:94" ht="19.5" hidden="1" customHeight="1">
      <c r="BA105" s="88"/>
      <c r="BB105" s="302" t="str">
        <f>IF(BC102="","",VLOOKUP(BC102,$CJ$102:$CP$145,6,FALSE))</f>
        <v>Joana Eduardo (DSRLisboa)</v>
      </c>
      <c r="BC105" s="303"/>
      <c r="BD105" s="302"/>
      <c r="BE105" s="306"/>
      <c r="BF105" s="303"/>
      <c r="BG105" s="302"/>
      <c r="BH105" s="306"/>
      <c r="BI105" s="303"/>
      <c r="BJ105" s="302"/>
      <c r="BK105" s="306"/>
      <c r="BL105" s="303"/>
      <c r="BM105" s="72"/>
      <c r="BN105" s="72"/>
      <c r="BO105" s="308"/>
      <c r="BP105" s="308"/>
      <c r="BQ105" s="308"/>
      <c r="BR105" s="94"/>
      <c r="BS105" s="95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92"/>
      <c r="CJ105" s="135">
        <f>$J$18</f>
        <v>4</v>
      </c>
      <c r="CK105" s="135" t="str">
        <f t="shared" si="9"/>
        <v>Iniciados</v>
      </c>
      <c r="CL105" s="135" t="str">
        <f t="shared" si="10"/>
        <v>Singulares</v>
      </c>
      <c r="CM105" s="135" t="str">
        <f t="shared" si="11"/>
        <v>Femininos</v>
      </c>
      <c r="CN105" s="135" t="str">
        <f>$J$5</f>
        <v>Grupo B</v>
      </c>
      <c r="CO105" s="135" t="str">
        <f>$K$18</f>
        <v>Gisela Mouteira (DSRNorte)</v>
      </c>
      <c r="CP105" s="135" t="str">
        <f>$K$19</f>
        <v/>
      </c>
    </row>
    <row r="106" spans="8:94" ht="19.5" hidden="1" customHeight="1" thickBot="1">
      <c r="BA106" s="88"/>
      <c r="BB106" s="304"/>
      <c r="BC106" s="305"/>
      <c r="BD106" s="304"/>
      <c r="BE106" s="307"/>
      <c r="BF106" s="305"/>
      <c r="BG106" s="304"/>
      <c r="BH106" s="307"/>
      <c r="BI106" s="305"/>
      <c r="BJ106" s="304"/>
      <c r="BK106" s="307"/>
      <c r="BL106" s="305"/>
      <c r="BM106" s="72"/>
      <c r="BN106" s="72"/>
      <c r="BO106" s="308"/>
      <c r="BP106" s="308"/>
      <c r="BQ106" s="308"/>
      <c r="BR106" s="94"/>
      <c r="BS106" s="95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92"/>
      <c r="CJ106" s="135">
        <f>$Q$16</f>
        <v>5</v>
      </c>
      <c r="CK106" s="135" t="str">
        <f t="shared" si="9"/>
        <v>Iniciados</v>
      </c>
      <c r="CL106" s="135" t="str">
        <f t="shared" si="10"/>
        <v>Singulares</v>
      </c>
      <c r="CM106" s="135" t="str">
        <f t="shared" si="11"/>
        <v>Femininos</v>
      </c>
      <c r="CN106" s="135" t="str">
        <f>$Q$5</f>
        <v>Grupo C</v>
      </c>
      <c r="CO106" s="135" t="str">
        <f>$R$16</f>
        <v>Nara Silva (DSRAlgarve)</v>
      </c>
      <c r="CP106" s="135" t="str">
        <f>$R$17</f>
        <v/>
      </c>
    </row>
    <row r="107" spans="8:94" ht="19.5" hidden="1" customHeight="1">
      <c r="BA107" s="88"/>
      <c r="BB107" s="302" t="str">
        <f>IF(BC102="","",VLOOKUP(BC102,$CJ$102:$CP$145,7,FALSE))</f>
        <v/>
      </c>
      <c r="BC107" s="303"/>
      <c r="BD107" s="302"/>
      <c r="BE107" s="306"/>
      <c r="BF107" s="303"/>
      <c r="BG107" s="302"/>
      <c r="BH107" s="306"/>
      <c r="BI107" s="303"/>
      <c r="BJ107" s="302"/>
      <c r="BK107" s="306"/>
      <c r="BL107" s="303"/>
      <c r="BM107" s="72"/>
      <c r="BN107" s="72"/>
      <c r="BO107" s="308"/>
      <c r="BP107" s="308"/>
      <c r="BQ107" s="308"/>
      <c r="BR107" s="94"/>
      <c r="BS107" s="95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92"/>
      <c r="CJ107" s="135">
        <f>$Q$18</f>
        <v>6</v>
      </c>
      <c r="CK107" s="135" t="str">
        <f t="shared" si="9"/>
        <v>Iniciados</v>
      </c>
      <c r="CL107" s="135" t="str">
        <f t="shared" si="10"/>
        <v>Singulares</v>
      </c>
      <c r="CM107" s="135" t="str">
        <f t="shared" si="11"/>
        <v>Femininos</v>
      </c>
      <c r="CN107" s="135" t="str">
        <f>$Q$5</f>
        <v>Grupo C</v>
      </c>
      <c r="CO107" s="135" t="str">
        <f>$R$18</f>
        <v>Mariana Eiras (DSRNorte)</v>
      </c>
      <c r="CP107" s="135" t="str">
        <f>$R$19</f>
        <v>Filipa Pinto (DSRLisboa)</v>
      </c>
    </row>
    <row r="108" spans="8:94" ht="19.5" hidden="1" customHeight="1" thickBot="1">
      <c r="BA108" s="88"/>
      <c r="BB108" s="304"/>
      <c r="BC108" s="305"/>
      <c r="BD108" s="304"/>
      <c r="BE108" s="307"/>
      <c r="BF108" s="305"/>
      <c r="BG108" s="304"/>
      <c r="BH108" s="307"/>
      <c r="BI108" s="305"/>
      <c r="BJ108" s="304"/>
      <c r="BK108" s="307"/>
      <c r="BL108" s="305"/>
      <c r="BM108" s="72"/>
      <c r="BN108" s="72"/>
      <c r="BO108" s="308"/>
      <c r="BP108" s="308"/>
      <c r="BQ108" s="308"/>
      <c r="BR108" s="96"/>
      <c r="BS108" s="95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92"/>
      <c r="CJ108" s="135">
        <f>$X$16</f>
        <v>7</v>
      </c>
      <c r="CK108" s="135" t="str">
        <f t="shared" si="9"/>
        <v>Iniciados</v>
      </c>
      <c r="CL108" s="135" t="str">
        <f t="shared" si="10"/>
        <v>Singulares</v>
      </c>
      <c r="CM108" s="135" t="str">
        <f t="shared" si="11"/>
        <v>Femininos</v>
      </c>
      <c r="CN108" s="135" t="str">
        <f>$X$5</f>
        <v>Grupo D</v>
      </c>
      <c r="CO108" s="135" t="str">
        <f>$Y$16</f>
        <v>Alexandra Alves (DSRCentro)</v>
      </c>
      <c r="CP108" s="135" t="str">
        <f>$Y$17</f>
        <v/>
      </c>
    </row>
    <row r="109" spans="8:94" ht="22.5" hidden="1" customHeight="1" thickBot="1">
      <c r="BA109" s="88"/>
      <c r="BB109" s="97" t="s">
        <v>24</v>
      </c>
      <c r="BC109" s="309"/>
      <c r="BD109" s="310"/>
      <c r="BE109" s="310"/>
      <c r="BF109" s="310"/>
      <c r="BG109" s="311"/>
      <c r="BH109" s="311"/>
      <c r="BI109" s="311"/>
      <c r="BJ109" s="311"/>
      <c r="BK109" s="311"/>
      <c r="BL109" s="311"/>
      <c r="BM109" s="312"/>
      <c r="BN109" s="313"/>
      <c r="BO109" s="313"/>
      <c r="BP109" s="313"/>
      <c r="BQ109" s="313"/>
      <c r="BR109" s="95"/>
      <c r="BS109" s="95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92"/>
      <c r="CJ109" s="135">
        <f>$X$18</f>
        <v>8</v>
      </c>
      <c r="CK109" s="135" t="str">
        <f t="shared" si="9"/>
        <v>Iniciados</v>
      </c>
      <c r="CL109" s="135" t="str">
        <f t="shared" si="10"/>
        <v>Singulares</v>
      </c>
      <c r="CM109" s="135" t="str">
        <f t="shared" si="11"/>
        <v>Femininos</v>
      </c>
      <c r="CN109" s="135" t="str">
        <f>$X$5</f>
        <v>Grupo D</v>
      </c>
      <c r="CO109" s="135" t="str">
        <f>$Y$18</f>
        <v>Mariana Afonso (DSRLisboa)</v>
      </c>
      <c r="CP109" s="135" t="str">
        <f>$Y$19</f>
        <v>Mariana Neves (DSRNorte)</v>
      </c>
    </row>
    <row r="110" spans="8:94" ht="18.75" hidden="1" customHeight="1">
      <c r="BA110" s="88"/>
      <c r="BB110" s="73" t="s">
        <v>35</v>
      </c>
      <c r="BC110" s="73"/>
      <c r="BD110" s="73"/>
      <c r="BE110" s="73"/>
      <c r="BF110" s="73"/>
      <c r="BG110" s="73"/>
      <c r="BH110" s="7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92"/>
      <c r="CJ110" s="135">
        <f>$C$20</f>
        <v>9</v>
      </c>
      <c r="CK110" s="135" t="str">
        <f t="shared" si="9"/>
        <v>Iniciados</v>
      </c>
      <c r="CL110" s="135" t="str">
        <f t="shared" si="10"/>
        <v>Singulares</v>
      </c>
      <c r="CM110" s="135" t="str">
        <f t="shared" si="11"/>
        <v>Femininos</v>
      </c>
      <c r="CN110" s="135" t="str">
        <f>$C$5</f>
        <v>Grupo A</v>
      </c>
      <c r="CO110" s="135" t="str">
        <f>$D$20</f>
        <v/>
      </c>
      <c r="CP110" s="135" t="str">
        <f>$D$21</f>
        <v/>
      </c>
    </row>
    <row r="111" spans="8:94" ht="15" hidden="1" customHeight="1">
      <c r="BA111" s="88"/>
      <c r="BB111" s="298" t="str">
        <f>IF($BB$105="","",$BB$105)</f>
        <v>Joana Eduardo (DSRLisboa)</v>
      </c>
      <c r="BC111" s="299"/>
      <c r="BD111" s="74"/>
      <c r="BE111" s="75"/>
      <c r="BF111" s="75"/>
      <c r="BG111" s="75"/>
      <c r="BH111" s="75"/>
      <c r="BI111" s="75"/>
      <c r="BJ111" s="75"/>
      <c r="BK111" s="75"/>
      <c r="BL111" s="75"/>
      <c r="BM111" s="76"/>
      <c r="BN111" s="254"/>
      <c r="BO111" s="256"/>
      <c r="BP111" s="77"/>
      <c r="BQ111" s="77"/>
      <c r="BR111" s="77"/>
      <c r="BS111" s="78"/>
      <c r="BT111" s="75"/>
      <c r="BU111" s="75"/>
      <c r="BV111" s="75"/>
      <c r="BW111" s="75"/>
      <c r="BX111" s="254"/>
      <c r="BY111" s="76"/>
      <c r="BZ111" s="75"/>
      <c r="CA111" s="75"/>
      <c r="CB111" s="75"/>
      <c r="CC111" s="75"/>
      <c r="CD111" s="75"/>
      <c r="CE111" s="75"/>
      <c r="CF111" s="75"/>
      <c r="CG111" s="75"/>
      <c r="CH111" s="92"/>
      <c r="CJ111" s="135">
        <f>$C$22</f>
        <v>10</v>
      </c>
      <c r="CK111" s="135" t="str">
        <f t="shared" si="9"/>
        <v>Iniciados</v>
      </c>
      <c r="CL111" s="135" t="str">
        <f t="shared" si="10"/>
        <v>Singulares</v>
      </c>
      <c r="CM111" s="135" t="str">
        <f t="shared" si="11"/>
        <v>Femininos</v>
      </c>
      <c r="CN111" s="135" t="str">
        <f>$C$5</f>
        <v>Grupo A</v>
      </c>
      <c r="CO111" s="135" t="str">
        <f>$D$22</f>
        <v>Joana Eduardo (DSRLisboa)</v>
      </c>
      <c r="CP111" s="135" t="str">
        <f>$D$23</f>
        <v>Aida Nunes (DSRNorte)</v>
      </c>
    </row>
    <row r="112" spans="8:94" ht="15" hidden="1" customHeight="1">
      <c r="BA112" s="88"/>
      <c r="BB112" s="300"/>
      <c r="BC112" s="301"/>
      <c r="BD112" s="79"/>
      <c r="BE112" s="80"/>
      <c r="BF112" s="80"/>
      <c r="BG112" s="80"/>
      <c r="BH112" s="80"/>
      <c r="BI112" s="80"/>
      <c r="BJ112" s="80"/>
      <c r="BK112" s="80"/>
      <c r="BL112" s="80"/>
      <c r="BM112" s="81"/>
      <c r="BN112" s="255"/>
      <c r="BO112" s="257"/>
      <c r="BP112" s="82"/>
      <c r="BQ112" s="82"/>
      <c r="BR112" s="82"/>
      <c r="BS112" s="83"/>
      <c r="BT112" s="80"/>
      <c r="BU112" s="80"/>
      <c r="BV112" s="80"/>
      <c r="BW112" s="80"/>
      <c r="BX112" s="255"/>
      <c r="BY112" s="81"/>
      <c r="BZ112" s="80"/>
      <c r="CA112" s="80"/>
      <c r="CB112" s="80"/>
      <c r="CC112" s="80"/>
      <c r="CD112" s="80"/>
      <c r="CE112" s="80"/>
      <c r="CF112" s="80"/>
      <c r="CG112" s="80"/>
      <c r="CH112" s="98" t="s">
        <v>1</v>
      </c>
      <c r="CJ112" s="135">
        <f>$J$20</f>
        <v>11</v>
      </c>
      <c r="CK112" s="135" t="str">
        <f t="shared" si="9"/>
        <v>Iniciados</v>
      </c>
      <c r="CL112" s="135" t="str">
        <f t="shared" si="10"/>
        <v>Singulares</v>
      </c>
      <c r="CM112" s="135" t="str">
        <f t="shared" si="11"/>
        <v>Femininos</v>
      </c>
      <c r="CN112" s="135" t="str">
        <f>$J$5</f>
        <v>Grupo B</v>
      </c>
      <c r="CO112" s="135" t="str">
        <f>$K$20</f>
        <v/>
      </c>
      <c r="CP112" s="135" t="str">
        <f>$K$21</f>
        <v/>
      </c>
    </row>
    <row r="113" spans="53:94" ht="15" hidden="1" customHeight="1">
      <c r="BA113" s="88"/>
      <c r="BB113" s="298" t="str">
        <f>IF($BB$107="","",$BB$107)</f>
        <v/>
      </c>
      <c r="BC113" s="299"/>
      <c r="BD113" s="74"/>
      <c r="BE113" s="75"/>
      <c r="BF113" s="75"/>
      <c r="BG113" s="75"/>
      <c r="BH113" s="75"/>
      <c r="BI113" s="75"/>
      <c r="BJ113" s="75"/>
      <c r="BK113" s="75"/>
      <c r="BL113" s="75"/>
      <c r="BM113" s="76"/>
      <c r="BN113" s="254"/>
      <c r="BO113" s="256"/>
      <c r="BP113" s="77"/>
      <c r="BQ113" s="77"/>
      <c r="BR113" s="77"/>
      <c r="BS113" s="78"/>
      <c r="BT113" s="75"/>
      <c r="BU113" s="75"/>
      <c r="BV113" s="75"/>
      <c r="BW113" s="75"/>
      <c r="BX113" s="254"/>
      <c r="BY113" s="76"/>
      <c r="BZ113" s="75"/>
      <c r="CA113" s="75"/>
      <c r="CB113" s="75"/>
      <c r="CC113" s="75"/>
      <c r="CD113" s="75"/>
      <c r="CE113" s="75"/>
      <c r="CF113" s="75"/>
      <c r="CG113" s="75"/>
      <c r="CH113" s="99"/>
      <c r="CJ113" s="135">
        <f>$J$22</f>
        <v>12</v>
      </c>
      <c r="CK113" s="135" t="str">
        <f t="shared" si="9"/>
        <v>Iniciados</v>
      </c>
      <c r="CL113" s="135" t="str">
        <f t="shared" si="10"/>
        <v>Singulares</v>
      </c>
      <c r="CM113" s="135" t="str">
        <f t="shared" si="11"/>
        <v>Femininos</v>
      </c>
      <c r="CN113" s="135" t="str">
        <f>$J$5</f>
        <v>Grupo B</v>
      </c>
      <c r="CO113" s="135" t="str">
        <f>$K$22</f>
        <v>Patrícia Silva (DSRAlentejo)</v>
      </c>
      <c r="CP113" s="135" t="str">
        <f>$K$23</f>
        <v>Gisela Mouteira (DSRNorte)</v>
      </c>
    </row>
    <row r="114" spans="53:94" ht="15" hidden="1" customHeight="1">
      <c r="BA114" s="88"/>
      <c r="BB114" s="300"/>
      <c r="BC114" s="301"/>
      <c r="BD114" s="79"/>
      <c r="BE114" s="80"/>
      <c r="BF114" s="80"/>
      <c r="BG114" s="80"/>
      <c r="BH114" s="80"/>
      <c r="BI114" s="80"/>
      <c r="BJ114" s="80"/>
      <c r="BK114" s="80"/>
      <c r="BL114" s="80"/>
      <c r="BM114" s="81"/>
      <c r="BN114" s="255"/>
      <c r="BO114" s="257"/>
      <c r="BP114" s="82"/>
      <c r="BQ114" s="82"/>
      <c r="BR114" s="82"/>
      <c r="BS114" s="83"/>
      <c r="BT114" s="80"/>
      <c r="BU114" s="80"/>
      <c r="BV114" s="80"/>
      <c r="BW114" s="80"/>
      <c r="BX114" s="255"/>
      <c r="BY114" s="81"/>
      <c r="BZ114" s="80"/>
      <c r="CA114" s="80"/>
      <c r="CB114" s="80"/>
      <c r="CC114" s="80"/>
      <c r="CD114" s="80"/>
      <c r="CE114" s="80"/>
      <c r="CF114" s="80"/>
      <c r="CG114" s="80"/>
      <c r="CH114" s="92"/>
      <c r="CJ114" s="135">
        <f>$Q$20</f>
        <v>13</v>
      </c>
      <c r="CK114" s="135" t="str">
        <f t="shared" si="9"/>
        <v>Iniciados</v>
      </c>
      <c r="CL114" s="135" t="str">
        <f t="shared" si="10"/>
        <v>Singulares</v>
      </c>
      <c r="CM114" s="135" t="str">
        <f t="shared" si="11"/>
        <v>Femininos</v>
      </c>
      <c r="CN114" s="135" t="str">
        <f>$Q$5</f>
        <v>Grupo C</v>
      </c>
      <c r="CO114" s="135" t="str">
        <f>$R$20</f>
        <v/>
      </c>
      <c r="CP114" s="135" t="str">
        <f>$R$21</f>
        <v>Filipa Pinto (DSRLisboa)</v>
      </c>
    </row>
    <row r="115" spans="53:94" ht="12.75" hidden="1" customHeight="1">
      <c r="BA115" s="88"/>
      <c r="BB115" s="84"/>
      <c r="BC115" s="84"/>
      <c r="BD115" s="100">
        <v>1</v>
      </c>
      <c r="BE115" s="100">
        <v>2</v>
      </c>
      <c r="BF115" s="100">
        <v>3</v>
      </c>
      <c r="BG115" s="100">
        <v>4</v>
      </c>
      <c r="BH115" s="100">
        <v>5</v>
      </c>
      <c r="BI115" s="100">
        <v>6</v>
      </c>
      <c r="BJ115" s="100">
        <v>7</v>
      </c>
      <c r="BK115" s="100">
        <v>8</v>
      </c>
      <c r="BL115" s="100">
        <v>9</v>
      </c>
      <c r="BM115" s="100">
        <v>10</v>
      </c>
      <c r="BN115" s="100">
        <v>11</v>
      </c>
      <c r="BO115" s="100">
        <v>12</v>
      </c>
      <c r="BP115" s="100">
        <v>13</v>
      </c>
      <c r="BQ115" s="100">
        <v>14</v>
      </c>
      <c r="BR115" s="100">
        <v>15</v>
      </c>
      <c r="BS115" s="100">
        <v>16</v>
      </c>
      <c r="BT115" s="100">
        <v>17</v>
      </c>
      <c r="BU115" s="100">
        <v>18</v>
      </c>
      <c r="BV115" s="100">
        <v>19</v>
      </c>
      <c r="BW115" s="100">
        <v>20</v>
      </c>
      <c r="BX115" s="100">
        <v>21</v>
      </c>
      <c r="BY115" s="100">
        <v>22</v>
      </c>
      <c r="BZ115" s="100">
        <v>23</v>
      </c>
      <c r="CA115" s="100">
        <v>24</v>
      </c>
      <c r="CB115" s="100">
        <v>25</v>
      </c>
      <c r="CC115" s="100">
        <v>26</v>
      </c>
      <c r="CD115" s="100">
        <v>27</v>
      </c>
      <c r="CE115" s="100">
        <v>28</v>
      </c>
      <c r="CF115" s="100">
        <v>29</v>
      </c>
      <c r="CG115" s="100">
        <v>30</v>
      </c>
      <c r="CH115" s="101"/>
      <c r="CJ115" s="135">
        <f>$Q$22</f>
        <v>14</v>
      </c>
      <c r="CK115" s="135" t="str">
        <f t="shared" si="9"/>
        <v>Iniciados</v>
      </c>
      <c r="CL115" s="135" t="str">
        <f t="shared" si="10"/>
        <v>Singulares</v>
      </c>
      <c r="CM115" s="135" t="str">
        <f t="shared" si="11"/>
        <v>Femininos</v>
      </c>
      <c r="CN115" s="135" t="str">
        <f>$Q$5</f>
        <v>Grupo C</v>
      </c>
      <c r="CO115" s="135" t="str">
        <f>$R$22</f>
        <v>Nara Silva (DSRAlgarve)</v>
      </c>
      <c r="CP115" s="135" t="str">
        <f>$R$23</f>
        <v>Mariana Eiras (DSRNorte)</v>
      </c>
    </row>
    <row r="116" spans="53:94" ht="15" hidden="1" customHeight="1">
      <c r="BA116" s="88"/>
      <c r="BB116" s="298" t="str">
        <f>IF($BB$105="","",$BB$105)</f>
        <v>Joana Eduardo (DSRLisboa)</v>
      </c>
      <c r="BC116" s="299"/>
      <c r="BD116" s="74"/>
      <c r="BE116" s="75"/>
      <c r="BF116" s="75"/>
      <c r="BG116" s="75"/>
      <c r="BH116" s="75"/>
      <c r="BI116" s="75"/>
      <c r="BJ116" s="75"/>
      <c r="BK116" s="75"/>
      <c r="BL116" s="75"/>
      <c r="BM116" s="76"/>
      <c r="BN116" s="254"/>
      <c r="BO116" s="256"/>
      <c r="BP116" s="77"/>
      <c r="BQ116" s="77"/>
      <c r="BR116" s="77"/>
      <c r="BS116" s="78"/>
      <c r="BT116" s="75"/>
      <c r="BU116" s="75"/>
      <c r="BV116" s="75"/>
      <c r="BW116" s="75"/>
      <c r="BX116" s="254"/>
      <c r="BY116" s="76"/>
      <c r="BZ116" s="75"/>
      <c r="CA116" s="75"/>
      <c r="CB116" s="75"/>
      <c r="CC116" s="75"/>
      <c r="CD116" s="75"/>
      <c r="CE116" s="75"/>
      <c r="CF116" s="75"/>
      <c r="CG116" s="75"/>
      <c r="CH116" s="92"/>
      <c r="CJ116" s="135">
        <f>$X$20</f>
        <v>15</v>
      </c>
      <c r="CK116" s="135" t="str">
        <f t="shared" si="9"/>
        <v>Iniciados</v>
      </c>
      <c r="CL116" s="135" t="str">
        <f t="shared" si="10"/>
        <v>Singulares</v>
      </c>
      <c r="CM116" s="135" t="str">
        <f t="shared" si="11"/>
        <v>Femininos</v>
      </c>
      <c r="CN116" s="135" t="str">
        <f>$X$5</f>
        <v>Grupo D</v>
      </c>
      <c r="CO116" s="135" t="str">
        <f>$Y$20</f>
        <v/>
      </c>
      <c r="CP116" s="135" t="str">
        <f>$Y$21</f>
        <v>Mariana Neves (DSRNorte)</v>
      </c>
    </row>
    <row r="117" spans="53:94" ht="15" hidden="1" customHeight="1">
      <c r="BA117" s="88"/>
      <c r="BB117" s="300"/>
      <c r="BC117" s="301"/>
      <c r="BD117" s="79"/>
      <c r="BE117" s="80"/>
      <c r="BF117" s="80"/>
      <c r="BG117" s="80"/>
      <c r="BH117" s="80"/>
      <c r="BI117" s="80"/>
      <c r="BJ117" s="80"/>
      <c r="BK117" s="80"/>
      <c r="BL117" s="80"/>
      <c r="BM117" s="81"/>
      <c r="BN117" s="255"/>
      <c r="BO117" s="257"/>
      <c r="BP117" s="82"/>
      <c r="BQ117" s="82"/>
      <c r="BR117" s="82"/>
      <c r="BS117" s="83"/>
      <c r="BT117" s="80"/>
      <c r="BU117" s="80"/>
      <c r="BV117" s="80"/>
      <c r="BW117" s="80"/>
      <c r="BX117" s="255"/>
      <c r="BY117" s="81"/>
      <c r="BZ117" s="80"/>
      <c r="CA117" s="80"/>
      <c r="CB117" s="80"/>
      <c r="CC117" s="80"/>
      <c r="CD117" s="80"/>
      <c r="CE117" s="80"/>
      <c r="CF117" s="80"/>
      <c r="CG117" s="80"/>
      <c r="CH117" s="92"/>
      <c r="CJ117" s="135">
        <f>$X$22</f>
        <v>16</v>
      </c>
      <c r="CK117" s="135" t="str">
        <f t="shared" si="9"/>
        <v>Iniciados</v>
      </c>
      <c r="CL117" s="135" t="str">
        <f t="shared" si="10"/>
        <v>Singulares</v>
      </c>
      <c r="CM117" s="135" t="str">
        <f t="shared" si="11"/>
        <v>Femininos</v>
      </c>
      <c r="CN117" s="135" t="str">
        <f>$X$5</f>
        <v>Grupo D</v>
      </c>
      <c r="CO117" s="135" t="str">
        <f>$Y$22</f>
        <v>Alexandra Alves (DSRCentro)</v>
      </c>
      <c r="CP117" s="135" t="str">
        <f>$Y$23</f>
        <v>Mariana Afonso (DSRLisboa)</v>
      </c>
    </row>
    <row r="118" spans="53:94" ht="15" hidden="1" customHeight="1">
      <c r="BA118" s="88"/>
      <c r="BB118" s="298" t="str">
        <f>IF($BB$107="","",$BB$107)</f>
        <v/>
      </c>
      <c r="BC118" s="299"/>
      <c r="BD118" s="74"/>
      <c r="BE118" s="75"/>
      <c r="BF118" s="75"/>
      <c r="BG118" s="75"/>
      <c r="BH118" s="75"/>
      <c r="BI118" s="75"/>
      <c r="BJ118" s="75"/>
      <c r="BK118" s="75"/>
      <c r="BL118" s="75"/>
      <c r="BM118" s="76"/>
      <c r="BN118" s="254"/>
      <c r="BO118" s="256"/>
      <c r="BP118" s="77"/>
      <c r="BQ118" s="77"/>
      <c r="BR118" s="77"/>
      <c r="BS118" s="78"/>
      <c r="BT118" s="75"/>
      <c r="BU118" s="75"/>
      <c r="BV118" s="75"/>
      <c r="BW118" s="75"/>
      <c r="BX118" s="254"/>
      <c r="BY118" s="76"/>
      <c r="BZ118" s="75"/>
      <c r="CA118" s="75"/>
      <c r="CB118" s="75"/>
      <c r="CC118" s="75"/>
      <c r="CD118" s="75"/>
      <c r="CE118" s="75"/>
      <c r="CF118" s="75"/>
      <c r="CG118" s="75"/>
      <c r="CH118" s="98" t="s">
        <v>2</v>
      </c>
      <c r="CJ118" s="135">
        <f>$C$24</f>
        <v>17</v>
      </c>
      <c r="CK118" s="135" t="str">
        <f t="shared" si="9"/>
        <v>Iniciados</v>
      </c>
      <c r="CL118" s="135" t="str">
        <f t="shared" si="10"/>
        <v>Singulares</v>
      </c>
      <c r="CM118" s="135" t="str">
        <f t="shared" si="11"/>
        <v>Femininos</v>
      </c>
      <c r="CN118" s="135" t="str">
        <f>$C$5</f>
        <v>Grupo A</v>
      </c>
      <c r="CO118" s="135" t="str">
        <f>$D$24</f>
        <v>Aida Nunes (DSRNorte)</v>
      </c>
      <c r="CP118" s="135" t="str">
        <f>$D$25</f>
        <v/>
      </c>
    </row>
    <row r="119" spans="53:94" ht="15" hidden="1" customHeight="1">
      <c r="BA119" s="88"/>
      <c r="BB119" s="300"/>
      <c r="BC119" s="301"/>
      <c r="BD119" s="79"/>
      <c r="BE119" s="80"/>
      <c r="BF119" s="80"/>
      <c r="BG119" s="80"/>
      <c r="BH119" s="80"/>
      <c r="BI119" s="80"/>
      <c r="BJ119" s="80"/>
      <c r="BK119" s="80"/>
      <c r="BL119" s="80"/>
      <c r="BM119" s="81"/>
      <c r="BN119" s="255"/>
      <c r="BO119" s="257"/>
      <c r="BP119" s="82"/>
      <c r="BQ119" s="82"/>
      <c r="BR119" s="82"/>
      <c r="BS119" s="83"/>
      <c r="BT119" s="80"/>
      <c r="BU119" s="80"/>
      <c r="BV119" s="80"/>
      <c r="BW119" s="80"/>
      <c r="BX119" s="255"/>
      <c r="BY119" s="81"/>
      <c r="BZ119" s="80"/>
      <c r="CA119" s="80"/>
      <c r="CB119" s="80"/>
      <c r="CC119" s="80"/>
      <c r="CD119" s="80"/>
      <c r="CE119" s="80"/>
      <c r="CF119" s="80"/>
      <c r="CG119" s="80"/>
      <c r="CH119" s="92"/>
      <c r="CJ119" s="135">
        <f>$C$26</f>
        <v>18</v>
      </c>
      <c r="CK119" s="135" t="str">
        <f t="shared" si="9"/>
        <v>Iniciados</v>
      </c>
      <c r="CL119" s="135" t="str">
        <f t="shared" si="10"/>
        <v>Singulares</v>
      </c>
      <c r="CM119" s="135" t="str">
        <f t="shared" si="11"/>
        <v>Femininos</v>
      </c>
      <c r="CN119" s="135" t="str">
        <f>$C$5</f>
        <v>Grupo A</v>
      </c>
      <c r="CO119" s="135" t="str">
        <f>$D$26</f>
        <v/>
      </c>
      <c r="CP119" s="135" t="str">
        <f>$D$27</f>
        <v>Joana Eduardo (DSRLisboa)</v>
      </c>
    </row>
    <row r="120" spans="53:94" ht="12.75" hidden="1" customHeight="1">
      <c r="BA120" s="88"/>
      <c r="BB120" s="84"/>
      <c r="BC120" s="84"/>
      <c r="BD120" s="100">
        <v>1</v>
      </c>
      <c r="BE120" s="100">
        <v>2</v>
      </c>
      <c r="BF120" s="100">
        <v>3</v>
      </c>
      <c r="BG120" s="100">
        <v>4</v>
      </c>
      <c r="BH120" s="100">
        <v>5</v>
      </c>
      <c r="BI120" s="100">
        <v>6</v>
      </c>
      <c r="BJ120" s="100">
        <v>7</v>
      </c>
      <c r="BK120" s="100">
        <v>8</v>
      </c>
      <c r="BL120" s="100">
        <v>9</v>
      </c>
      <c r="BM120" s="100">
        <v>10</v>
      </c>
      <c r="BN120" s="100">
        <v>11</v>
      </c>
      <c r="BO120" s="100">
        <v>12</v>
      </c>
      <c r="BP120" s="100">
        <v>13</v>
      </c>
      <c r="BQ120" s="100">
        <v>14</v>
      </c>
      <c r="BR120" s="100">
        <v>15</v>
      </c>
      <c r="BS120" s="100">
        <v>16</v>
      </c>
      <c r="BT120" s="100">
        <v>17</v>
      </c>
      <c r="BU120" s="100">
        <v>18</v>
      </c>
      <c r="BV120" s="100">
        <v>19</v>
      </c>
      <c r="BW120" s="100">
        <v>20</v>
      </c>
      <c r="BX120" s="100">
        <v>21</v>
      </c>
      <c r="BY120" s="100">
        <v>22</v>
      </c>
      <c r="BZ120" s="100">
        <v>23</v>
      </c>
      <c r="CA120" s="100">
        <v>24</v>
      </c>
      <c r="CB120" s="100">
        <v>25</v>
      </c>
      <c r="CC120" s="100">
        <v>26</v>
      </c>
      <c r="CD120" s="100">
        <v>27</v>
      </c>
      <c r="CE120" s="100">
        <v>28</v>
      </c>
      <c r="CF120" s="100">
        <v>29</v>
      </c>
      <c r="CG120" s="100">
        <v>30</v>
      </c>
      <c r="CH120" s="101"/>
      <c r="CJ120" s="135">
        <f>$J$24</f>
        <v>19</v>
      </c>
      <c r="CK120" s="135" t="str">
        <f t="shared" si="9"/>
        <v>Iniciados</v>
      </c>
      <c r="CL120" s="135" t="str">
        <f t="shared" si="10"/>
        <v>Singulares</v>
      </c>
      <c r="CM120" s="135" t="str">
        <f t="shared" si="11"/>
        <v>Femininos</v>
      </c>
      <c r="CN120" s="135" t="str">
        <f>$J$5</f>
        <v>Grupo B</v>
      </c>
      <c r="CO120" s="135" t="str">
        <f>$K$24</f>
        <v>Gisela Mouteira (DSRNorte)</v>
      </c>
      <c r="CP120" s="135" t="str">
        <f>$K$25</f>
        <v/>
      </c>
    </row>
    <row r="121" spans="53:94" ht="15" hidden="1" customHeight="1">
      <c r="BA121" s="88"/>
      <c r="BB121" s="298" t="str">
        <f>IF($BB$105="","",$BB$105)</f>
        <v>Joana Eduardo (DSRLisboa)</v>
      </c>
      <c r="BC121" s="299"/>
      <c r="BD121" s="74"/>
      <c r="BE121" s="75"/>
      <c r="BF121" s="75"/>
      <c r="BG121" s="75"/>
      <c r="BH121" s="75"/>
      <c r="BI121" s="75"/>
      <c r="BJ121" s="75"/>
      <c r="BK121" s="75"/>
      <c r="BL121" s="75"/>
      <c r="BM121" s="76"/>
      <c r="BN121" s="254"/>
      <c r="BO121" s="256"/>
      <c r="BP121" s="77"/>
      <c r="BQ121" s="77"/>
      <c r="BR121" s="77"/>
      <c r="BS121" s="78"/>
      <c r="BT121" s="75"/>
      <c r="BU121" s="75"/>
      <c r="BV121" s="75"/>
      <c r="BW121" s="75"/>
      <c r="BX121" s="254"/>
      <c r="BY121" s="76"/>
      <c r="BZ121" s="75"/>
      <c r="CA121" s="75"/>
      <c r="CB121" s="75"/>
      <c r="CC121" s="75"/>
      <c r="CD121" s="75"/>
      <c r="CE121" s="75"/>
      <c r="CF121" s="75"/>
      <c r="CG121" s="75"/>
      <c r="CH121" s="92"/>
      <c r="CJ121" s="135">
        <f>$J$26</f>
        <v>20</v>
      </c>
      <c r="CK121" s="135" t="str">
        <f t="shared" si="9"/>
        <v>Iniciados</v>
      </c>
      <c r="CL121" s="135" t="str">
        <f t="shared" si="10"/>
        <v>Singulares</v>
      </c>
      <c r="CM121" s="135" t="str">
        <f t="shared" si="11"/>
        <v>Femininos</v>
      </c>
      <c r="CN121" s="135" t="str">
        <f>$J$5</f>
        <v>Grupo B</v>
      </c>
      <c r="CO121" s="135" t="str">
        <f>$K$26</f>
        <v/>
      </c>
      <c r="CP121" s="135" t="str">
        <f>$K$27</f>
        <v>Patrícia Silva (DSRAlentejo)</v>
      </c>
    </row>
    <row r="122" spans="53:94" ht="15" hidden="1" customHeight="1">
      <c r="BA122" s="88"/>
      <c r="BB122" s="300"/>
      <c r="BC122" s="301"/>
      <c r="BD122" s="79"/>
      <c r="BE122" s="80"/>
      <c r="BF122" s="80"/>
      <c r="BG122" s="80"/>
      <c r="BH122" s="80"/>
      <c r="BI122" s="80"/>
      <c r="BJ122" s="80"/>
      <c r="BK122" s="80"/>
      <c r="BL122" s="80"/>
      <c r="BM122" s="81"/>
      <c r="BN122" s="255"/>
      <c r="BO122" s="257"/>
      <c r="BP122" s="82"/>
      <c r="BQ122" s="82"/>
      <c r="BR122" s="82"/>
      <c r="BS122" s="83"/>
      <c r="BT122" s="80"/>
      <c r="BU122" s="80"/>
      <c r="BV122" s="80"/>
      <c r="BW122" s="80"/>
      <c r="BX122" s="255"/>
      <c r="BY122" s="81"/>
      <c r="BZ122" s="80"/>
      <c r="CA122" s="80"/>
      <c r="CB122" s="80"/>
      <c r="CC122" s="80"/>
      <c r="CD122" s="80"/>
      <c r="CE122" s="80"/>
      <c r="CF122" s="80"/>
      <c r="CG122" s="80"/>
      <c r="CH122" s="92"/>
      <c r="CJ122" s="135">
        <f>$Q$24</f>
        <v>21</v>
      </c>
      <c r="CK122" s="135" t="str">
        <f t="shared" si="9"/>
        <v>Iniciados</v>
      </c>
      <c r="CL122" s="135" t="str">
        <f t="shared" si="10"/>
        <v>Singulares</v>
      </c>
      <c r="CM122" s="135" t="str">
        <f t="shared" si="11"/>
        <v>Femininos</v>
      </c>
      <c r="CN122" s="135" t="str">
        <f>$Q$5</f>
        <v>Grupo C</v>
      </c>
      <c r="CO122" s="135" t="str">
        <f>$R$24</f>
        <v>Mariana Eiras (DSRNorte)</v>
      </c>
      <c r="CP122" s="135" t="str">
        <f>$R$25</f>
        <v/>
      </c>
    </row>
    <row r="123" spans="53:94" ht="15" hidden="1" customHeight="1">
      <c r="BA123" s="88"/>
      <c r="BB123" s="298" t="str">
        <f>IF($BB$107="","",$BB$107)</f>
        <v/>
      </c>
      <c r="BC123" s="299"/>
      <c r="BD123" s="74"/>
      <c r="BE123" s="75"/>
      <c r="BF123" s="75"/>
      <c r="BG123" s="75"/>
      <c r="BH123" s="75"/>
      <c r="BI123" s="75"/>
      <c r="BJ123" s="75"/>
      <c r="BK123" s="75"/>
      <c r="BL123" s="75"/>
      <c r="BM123" s="76"/>
      <c r="BN123" s="254"/>
      <c r="BO123" s="256"/>
      <c r="BP123" s="77"/>
      <c r="BQ123" s="77"/>
      <c r="BR123" s="77"/>
      <c r="BS123" s="78"/>
      <c r="BT123" s="75"/>
      <c r="BU123" s="75"/>
      <c r="BV123" s="75"/>
      <c r="BW123" s="75"/>
      <c r="BX123" s="254"/>
      <c r="BY123" s="76"/>
      <c r="BZ123" s="75"/>
      <c r="CA123" s="75"/>
      <c r="CB123" s="75"/>
      <c r="CC123" s="75"/>
      <c r="CD123" s="75"/>
      <c r="CE123" s="75"/>
      <c r="CF123" s="75"/>
      <c r="CG123" s="75"/>
      <c r="CH123" s="98" t="s">
        <v>3</v>
      </c>
      <c r="CJ123" s="135">
        <f>$Q$26</f>
        <v>22</v>
      </c>
      <c r="CK123" s="135" t="str">
        <f t="shared" si="9"/>
        <v>Iniciados</v>
      </c>
      <c r="CL123" s="135" t="str">
        <f t="shared" si="10"/>
        <v>Singulares</v>
      </c>
      <c r="CM123" s="135" t="str">
        <f t="shared" si="11"/>
        <v>Femininos</v>
      </c>
      <c r="CN123" s="135" t="str">
        <f>$Q$5</f>
        <v>Grupo C</v>
      </c>
      <c r="CO123" s="135" t="str">
        <f>$R$26</f>
        <v>Filipa Pinto (DSRLisboa)</v>
      </c>
      <c r="CP123" s="135" t="str">
        <f>$R$27</f>
        <v>Nara Silva (DSRAlgarve)</v>
      </c>
    </row>
    <row r="124" spans="53:94" ht="15" hidden="1" customHeight="1">
      <c r="BA124" s="88"/>
      <c r="BB124" s="300"/>
      <c r="BC124" s="301"/>
      <c r="BD124" s="79"/>
      <c r="BE124" s="80"/>
      <c r="BF124" s="80"/>
      <c r="BG124" s="80"/>
      <c r="BH124" s="80"/>
      <c r="BI124" s="80"/>
      <c r="BJ124" s="80"/>
      <c r="BK124" s="80"/>
      <c r="BL124" s="80"/>
      <c r="BM124" s="81"/>
      <c r="BN124" s="255"/>
      <c r="BO124" s="257"/>
      <c r="BP124" s="82"/>
      <c r="BQ124" s="82"/>
      <c r="BR124" s="82"/>
      <c r="BS124" s="83"/>
      <c r="BT124" s="80"/>
      <c r="BU124" s="80"/>
      <c r="BV124" s="80"/>
      <c r="BW124" s="80"/>
      <c r="BX124" s="255"/>
      <c r="BY124" s="81"/>
      <c r="BZ124" s="80"/>
      <c r="CA124" s="80"/>
      <c r="CB124" s="80"/>
      <c r="CC124" s="80"/>
      <c r="CD124" s="80"/>
      <c r="CE124" s="80"/>
      <c r="CF124" s="80"/>
      <c r="CG124" s="80"/>
      <c r="CH124" s="92"/>
      <c r="CJ124" s="135">
        <f>$X$24</f>
        <v>23</v>
      </c>
      <c r="CK124" s="135" t="str">
        <f t="shared" si="9"/>
        <v>Iniciados</v>
      </c>
      <c r="CL124" s="135" t="str">
        <f t="shared" si="10"/>
        <v>Singulares</v>
      </c>
      <c r="CM124" s="135" t="str">
        <f t="shared" si="11"/>
        <v>Femininos</v>
      </c>
      <c r="CN124" s="135" t="str">
        <f>$X$5</f>
        <v>Grupo D</v>
      </c>
      <c r="CO124" s="135" t="str">
        <f>$Y$24</f>
        <v>Mariana Afonso (DSRLisboa)</v>
      </c>
      <c r="CP124" s="135" t="str">
        <f>$Y$25</f>
        <v/>
      </c>
    </row>
    <row r="125" spans="53:94" ht="65.25" hidden="1" customHeight="1">
      <c r="BA125" s="102"/>
      <c r="BB125" s="103" t="s">
        <v>36</v>
      </c>
      <c r="BC125" s="104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1"/>
      <c r="CJ125" s="135">
        <f>$X$26</f>
        <v>24</v>
      </c>
      <c r="CK125" s="135" t="str">
        <f t="shared" si="9"/>
        <v>Iniciados</v>
      </c>
      <c r="CL125" s="135" t="str">
        <f t="shared" si="10"/>
        <v>Singulares</v>
      </c>
      <c r="CM125" s="135" t="str">
        <f t="shared" si="11"/>
        <v>Femininos</v>
      </c>
      <c r="CN125" s="135" t="str">
        <f>$X$5</f>
        <v>Grupo D</v>
      </c>
      <c r="CO125" s="135" t="str">
        <f>$Y$26</f>
        <v>Mariana Neves (DSRNorte)</v>
      </c>
      <c r="CP125" s="135" t="str">
        <f>$Y$27</f>
        <v>Alexandra Alves (DSRCentro)</v>
      </c>
    </row>
    <row r="126" spans="53:94" ht="136.5" hidden="1" customHeight="1">
      <c r="BA126" s="314" t="s">
        <v>64</v>
      </c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J126" s="135">
        <f>$H$31</f>
        <v>25</v>
      </c>
      <c r="CK126" s="135" t="str">
        <f t="shared" si="9"/>
        <v>Iniciados</v>
      </c>
      <c r="CL126" s="135" t="str">
        <f t="shared" si="10"/>
        <v>Singulares</v>
      </c>
      <c r="CM126" s="135" t="str">
        <f t="shared" si="11"/>
        <v>Femininos</v>
      </c>
      <c r="CN126" s="135" t="str">
        <f>"1º Jogo dos 1/4 final"</f>
        <v>1º Jogo dos 1/4 final</v>
      </c>
      <c r="CO126" s="135" t="str">
        <f>$C$30</f>
        <v>1º do grupo A</v>
      </c>
      <c r="CP126" s="135" t="str">
        <f>$C$32</f>
        <v>2º do grupo B</v>
      </c>
    </row>
    <row r="127" spans="53:94" ht="64.5" hidden="1" customHeight="1">
      <c r="BA127" s="87"/>
      <c r="BB127" s="315" t="str">
        <f>IF(BC128="","",CONCATENATE(VLOOKUP(BC128,$CJ$102:$CP$145,2,FALSE),"  -  ",VLOOKUP(BC128,$CJ$102:$CP$145,3,FALSE),,"  -  ",VLOOKUP(BC128,$CJ$102:$CP$145,4,FALSE),"  -  ",VLOOKUP(BC128,$CJ$102:$CP$145,5,FALSE)))</f>
        <v>Iniciados  -  Singulares  -  Femininos  -  Grupo A</v>
      </c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76"/>
      <c r="CJ127" s="135">
        <f>$H$35</f>
        <v>26</v>
      </c>
      <c r="CK127" s="135" t="str">
        <f t="shared" si="9"/>
        <v>Iniciados</v>
      </c>
      <c r="CL127" s="135" t="str">
        <f t="shared" si="10"/>
        <v>Singulares</v>
      </c>
      <c r="CM127" s="135" t="str">
        <f t="shared" si="11"/>
        <v>Femininos</v>
      </c>
      <c r="CN127" s="135" t="str">
        <f>"2º Jogo dos 1/4 final"</f>
        <v>2º Jogo dos 1/4 final</v>
      </c>
      <c r="CO127" s="135" t="str">
        <f>$C$34</f>
        <v>2º do grupo D</v>
      </c>
      <c r="CP127" s="135" t="str">
        <f>$C$36</f>
        <v>1º do grupo C</v>
      </c>
    </row>
    <row r="128" spans="53:94" ht="30" hidden="1" customHeight="1">
      <c r="BA128" s="88"/>
      <c r="BB128" s="89" t="s">
        <v>26</v>
      </c>
      <c r="BC128" s="137">
        <f>IF($AI$27="","",$AI$27)</f>
        <v>2</v>
      </c>
      <c r="BD128" s="84"/>
      <c r="BE128" s="84"/>
      <c r="BF128" s="84"/>
      <c r="BG128" s="84"/>
      <c r="BH128" s="84"/>
      <c r="BI128" s="84"/>
      <c r="BJ128" s="251" t="s">
        <v>65</v>
      </c>
      <c r="BK128" s="84"/>
      <c r="BL128" s="84"/>
      <c r="BM128" s="252"/>
      <c r="BN128" s="253"/>
      <c r="BO128" s="90"/>
      <c r="BP128" s="90"/>
      <c r="BQ128" s="90"/>
      <c r="BR128" s="91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92"/>
      <c r="CJ128" s="135">
        <f>$H$39</f>
        <v>27</v>
      </c>
      <c r="CK128" s="135" t="str">
        <f t="shared" si="9"/>
        <v>Iniciados</v>
      </c>
      <c r="CL128" s="135" t="str">
        <f t="shared" si="10"/>
        <v>Singulares</v>
      </c>
      <c r="CM128" s="135" t="str">
        <f t="shared" si="11"/>
        <v>Femininos</v>
      </c>
      <c r="CN128" s="135" t="str">
        <f>"3º Jogo dos 1/4 final"</f>
        <v>3º Jogo dos 1/4 final</v>
      </c>
      <c r="CO128" s="135" t="str">
        <f>$C$38</f>
        <v>1º do grupo B</v>
      </c>
      <c r="CP128" s="135" t="str">
        <f>$C$40</f>
        <v>2º do grupo A</v>
      </c>
    </row>
    <row r="129" spans="53:94" ht="7.5" hidden="1" customHeight="1">
      <c r="BA129" s="88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92"/>
      <c r="CJ129" s="135">
        <f>$H$43</f>
        <v>28</v>
      </c>
      <c r="CK129" s="135" t="str">
        <f t="shared" si="9"/>
        <v>Iniciados</v>
      </c>
      <c r="CL129" s="135" t="str">
        <f t="shared" si="10"/>
        <v>Singulares</v>
      </c>
      <c r="CM129" s="135" t="str">
        <f t="shared" si="11"/>
        <v>Femininos</v>
      </c>
      <c r="CN129" s="135" t="str">
        <f>"4º Jogo dos 1/4 final"</f>
        <v>4º Jogo dos 1/4 final</v>
      </c>
      <c r="CO129" s="135" t="str">
        <f>$C$42</f>
        <v>2º do grupo C</v>
      </c>
      <c r="CP129" s="135" t="str">
        <f>$C$44</f>
        <v>1º do grupo D</v>
      </c>
    </row>
    <row r="130" spans="53:94" ht="17.25" hidden="1" customHeight="1" thickBot="1">
      <c r="BA130" s="88"/>
      <c r="BB130" s="316" t="s">
        <v>35</v>
      </c>
      <c r="BC130" s="316"/>
      <c r="BD130" s="93" t="s">
        <v>21</v>
      </c>
      <c r="BE130" s="93"/>
      <c r="BF130" s="93"/>
      <c r="BG130" s="93" t="s">
        <v>22</v>
      </c>
      <c r="BH130" s="93"/>
      <c r="BI130" s="93"/>
      <c r="BJ130" s="93" t="s">
        <v>23</v>
      </c>
      <c r="BK130" s="93"/>
      <c r="BL130" s="93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92"/>
      <c r="CJ130" s="135">
        <f>$O$33</f>
        <v>29</v>
      </c>
      <c r="CK130" s="135" t="str">
        <f t="shared" si="9"/>
        <v>Iniciados</v>
      </c>
      <c r="CL130" s="135" t="str">
        <f t="shared" si="10"/>
        <v>Singulares</v>
      </c>
      <c r="CM130" s="135" t="str">
        <f t="shared" si="11"/>
        <v>Femininos</v>
      </c>
      <c r="CN130" s="135" t="str">
        <f>"1ª Meia Final"</f>
        <v>1ª Meia Final</v>
      </c>
      <c r="CO130" s="135" t="str">
        <f>$I$31</f>
        <v>1ª Meia Final-Jogador1</v>
      </c>
      <c r="CP130" s="135" t="str">
        <f>$I$35</f>
        <v>1ª Meia Final-Jogador2</v>
      </c>
    </row>
    <row r="131" spans="53:94" ht="19.5" hidden="1" customHeight="1">
      <c r="BA131" s="88"/>
      <c r="BB131" s="302" t="str">
        <f>IF(BC128="","",VLOOKUP(BC128,$CJ$102:$CP$145,6,FALSE))</f>
        <v>Aida Nunes (DSRNorte)</v>
      </c>
      <c r="BC131" s="303"/>
      <c r="BD131" s="302"/>
      <c r="BE131" s="306"/>
      <c r="BF131" s="303"/>
      <c r="BG131" s="302"/>
      <c r="BH131" s="306"/>
      <c r="BI131" s="303"/>
      <c r="BJ131" s="302"/>
      <c r="BK131" s="306"/>
      <c r="BL131" s="303"/>
      <c r="BM131" s="72"/>
      <c r="BN131" s="72"/>
      <c r="BO131" s="308"/>
      <c r="BP131" s="308"/>
      <c r="BQ131" s="308"/>
      <c r="BR131" s="94"/>
      <c r="BS131" s="95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92"/>
      <c r="CJ131" s="135">
        <f>$O$41</f>
        <v>30</v>
      </c>
      <c r="CK131" s="135" t="str">
        <f t="shared" si="9"/>
        <v>Iniciados</v>
      </c>
      <c r="CL131" s="135" t="str">
        <f t="shared" si="10"/>
        <v>Singulares</v>
      </c>
      <c r="CM131" s="135" t="str">
        <f t="shared" si="11"/>
        <v>Femininos</v>
      </c>
      <c r="CN131" s="135" t="str">
        <f>"2ª Meia Final"</f>
        <v>2ª Meia Final</v>
      </c>
      <c r="CO131" s="135" t="str">
        <f>$I$39</f>
        <v>2ª Meia Final-Jogador1</v>
      </c>
      <c r="CP131" s="135" t="str">
        <f>$I$43</f>
        <v>2ª Meia Final-Jogador2</v>
      </c>
    </row>
    <row r="132" spans="53:94" ht="19.5" hidden="1" customHeight="1" thickBot="1">
      <c r="BA132" s="88"/>
      <c r="BB132" s="304"/>
      <c r="BC132" s="305"/>
      <c r="BD132" s="304"/>
      <c r="BE132" s="307"/>
      <c r="BF132" s="305"/>
      <c r="BG132" s="304"/>
      <c r="BH132" s="307"/>
      <c r="BI132" s="305"/>
      <c r="BJ132" s="304"/>
      <c r="BK132" s="307"/>
      <c r="BL132" s="305"/>
      <c r="BM132" s="72"/>
      <c r="BN132" s="72"/>
      <c r="BO132" s="308"/>
      <c r="BP132" s="308"/>
      <c r="BQ132" s="308"/>
      <c r="BR132" s="94"/>
      <c r="BS132" s="95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92"/>
      <c r="CJ132" s="135">
        <f>$V$37</f>
        <v>31</v>
      </c>
      <c r="CK132" s="135" t="str">
        <f t="shared" si="9"/>
        <v>Iniciados</v>
      </c>
      <c r="CL132" s="135" t="str">
        <f t="shared" si="10"/>
        <v>Singulares</v>
      </c>
      <c r="CM132" s="135" t="str">
        <f t="shared" si="11"/>
        <v>Femininos</v>
      </c>
      <c r="CN132" s="135" t="str">
        <f>"Jogo 3º/4º lugar"</f>
        <v>Jogo 3º/4º lugar</v>
      </c>
      <c r="CO132" s="135" t="str">
        <f>$P$35</f>
        <v>Disputa 3º/4º  Jogador1</v>
      </c>
      <c r="CP132" s="135" t="str">
        <f>$P$39</f>
        <v>Disputa 3º/4º  Jogador2</v>
      </c>
    </row>
    <row r="133" spans="53:94" ht="19.5" hidden="1" customHeight="1">
      <c r="BA133" s="88"/>
      <c r="BB133" s="302" t="str">
        <f>IF(BC128="","",VLOOKUP(BC128,$CJ$102:$CP$145,7,FALSE))</f>
        <v/>
      </c>
      <c r="BC133" s="303"/>
      <c r="BD133" s="302"/>
      <c r="BE133" s="306"/>
      <c r="BF133" s="303"/>
      <c r="BG133" s="302"/>
      <c r="BH133" s="306"/>
      <c r="BI133" s="303"/>
      <c r="BJ133" s="302"/>
      <c r="BK133" s="306"/>
      <c r="BL133" s="303"/>
      <c r="BM133" s="72"/>
      <c r="BN133" s="72"/>
      <c r="BO133" s="308"/>
      <c r="BP133" s="308"/>
      <c r="BQ133" s="308"/>
      <c r="BR133" s="94"/>
      <c r="BS133" s="95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92"/>
      <c r="CJ133" s="136">
        <f>$W$37</f>
        <v>32</v>
      </c>
      <c r="CK133" s="136" t="str">
        <f t="shared" si="9"/>
        <v>Iniciados</v>
      </c>
      <c r="CL133" s="136" t="str">
        <f t="shared" si="10"/>
        <v>Singulares</v>
      </c>
      <c r="CM133" s="136" t="str">
        <f t="shared" si="11"/>
        <v>Femininos</v>
      </c>
      <c r="CN133" s="136" t="str">
        <f>"Final"</f>
        <v>Final</v>
      </c>
      <c r="CO133" s="136" t="str">
        <f>$P$33</f>
        <v>Final-Jogador1</v>
      </c>
      <c r="CP133" s="136" t="str">
        <f>$P$41</f>
        <v>Final-Jogador2</v>
      </c>
    </row>
    <row r="134" spans="53:94" ht="19.5" hidden="1" customHeight="1" thickBot="1">
      <c r="BA134" s="88"/>
      <c r="BB134" s="304"/>
      <c r="BC134" s="305"/>
      <c r="BD134" s="304"/>
      <c r="BE134" s="307"/>
      <c r="BF134" s="305"/>
      <c r="BG134" s="304"/>
      <c r="BH134" s="307"/>
      <c r="BI134" s="305"/>
      <c r="BJ134" s="304"/>
      <c r="BK134" s="307"/>
      <c r="BL134" s="305"/>
      <c r="BM134" s="72"/>
      <c r="BN134" s="72"/>
      <c r="BO134" s="308"/>
      <c r="BP134" s="308"/>
      <c r="BQ134" s="308"/>
      <c r="BR134" s="96"/>
      <c r="BS134" s="95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92"/>
      <c r="CJ134" s="135">
        <f>$O$52</f>
        <v>33</v>
      </c>
      <c r="CK134" s="135" t="str">
        <f t="shared" si="9"/>
        <v>Iniciados</v>
      </c>
      <c r="CL134" s="135" t="str">
        <f t="shared" si="10"/>
        <v>Singulares</v>
      </c>
      <c r="CM134" s="135" t="str">
        <f t="shared" si="11"/>
        <v>Femininos</v>
      </c>
      <c r="CN134" s="135" t="str">
        <f>"Disp 5º-8º - Jogo1"</f>
        <v>Disp 5º-8º - Jogo1</v>
      </c>
      <c r="CO134" s="135" t="str">
        <f>$I$50</f>
        <v>Vencido do jogo 25</v>
      </c>
      <c r="CP134" s="135" t="str">
        <f>$I$54</f>
        <v>Vencido do jogo 26</v>
      </c>
    </row>
    <row r="135" spans="53:94" ht="22.5" hidden="1" customHeight="1" thickBot="1">
      <c r="BA135" s="88"/>
      <c r="BB135" s="97" t="s">
        <v>24</v>
      </c>
      <c r="BC135" s="309"/>
      <c r="BD135" s="310"/>
      <c r="BE135" s="310"/>
      <c r="BF135" s="310"/>
      <c r="BG135" s="311"/>
      <c r="BH135" s="311"/>
      <c r="BI135" s="311"/>
      <c r="BJ135" s="311"/>
      <c r="BK135" s="311"/>
      <c r="BL135" s="311"/>
      <c r="BM135" s="312"/>
      <c r="BN135" s="313"/>
      <c r="BO135" s="313"/>
      <c r="BP135" s="313"/>
      <c r="BQ135" s="313"/>
      <c r="BR135" s="95"/>
      <c r="BS135" s="95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92"/>
      <c r="CJ135" s="135">
        <f>$O$60</f>
        <v>34</v>
      </c>
      <c r="CK135" s="135" t="str">
        <f t="shared" si="9"/>
        <v>Iniciados</v>
      </c>
      <c r="CL135" s="135" t="str">
        <f t="shared" si="10"/>
        <v>Singulares</v>
      </c>
      <c r="CM135" s="135" t="str">
        <f t="shared" si="11"/>
        <v>Femininos</v>
      </c>
      <c r="CN135" s="135" t="str">
        <f>"Disp 5º-8º - Jogo2"</f>
        <v>Disp 5º-8º - Jogo2</v>
      </c>
      <c r="CO135" s="135" t="str">
        <f>$I$58</f>
        <v>Vencido do jogo 27</v>
      </c>
      <c r="CP135" s="135" t="str">
        <f>$I$62</f>
        <v>Vencido do jogo 28</v>
      </c>
    </row>
    <row r="136" spans="53:94" ht="18.75" hidden="1" customHeight="1">
      <c r="BA136" s="88"/>
      <c r="BB136" s="73" t="s">
        <v>35</v>
      </c>
      <c r="BC136" s="73"/>
      <c r="BD136" s="73"/>
      <c r="BE136" s="73"/>
      <c r="BF136" s="73"/>
      <c r="BG136" s="73"/>
      <c r="BH136" s="7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92"/>
      <c r="CJ136" s="135">
        <f>$V$56</f>
        <v>35</v>
      </c>
      <c r="CK136" s="135" t="str">
        <f t="shared" si="9"/>
        <v>Iniciados</v>
      </c>
      <c r="CL136" s="135" t="str">
        <f t="shared" si="10"/>
        <v>Singulares</v>
      </c>
      <c r="CM136" s="135" t="str">
        <f t="shared" si="11"/>
        <v>Femininos</v>
      </c>
      <c r="CN136" s="135" t="str">
        <f>"Jogo 7º/8º lugar"</f>
        <v>Jogo 7º/8º lugar</v>
      </c>
      <c r="CO136" s="135" t="str">
        <f>$P$54</f>
        <v>Disputa 7º/8º  Jogador1</v>
      </c>
      <c r="CP136" s="135" t="str">
        <f>$P$58</f>
        <v>Disputa 7º/8º  Jogador2</v>
      </c>
    </row>
    <row r="137" spans="53:94" ht="15" hidden="1" customHeight="1">
      <c r="BA137" s="88"/>
      <c r="BB137" s="298" t="str">
        <f>IF($BB$131="","",$BB$131)</f>
        <v>Aida Nunes (DSRNorte)</v>
      </c>
      <c r="BC137" s="299"/>
      <c r="BD137" s="74"/>
      <c r="BE137" s="75"/>
      <c r="BF137" s="75"/>
      <c r="BG137" s="75"/>
      <c r="BH137" s="75"/>
      <c r="BI137" s="75"/>
      <c r="BJ137" s="75"/>
      <c r="BK137" s="75"/>
      <c r="BL137" s="75"/>
      <c r="BM137" s="76"/>
      <c r="BN137" s="254"/>
      <c r="BO137" s="256"/>
      <c r="BP137" s="77"/>
      <c r="BQ137" s="77"/>
      <c r="BR137" s="77"/>
      <c r="BS137" s="78"/>
      <c r="BT137" s="75"/>
      <c r="BU137" s="75"/>
      <c r="BV137" s="75"/>
      <c r="BW137" s="75"/>
      <c r="BX137" s="254"/>
      <c r="BY137" s="76"/>
      <c r="BZ137" s="75"/>
      <c r="CA137" s="75"/>
      <c r="CB137" s="75"/>
      <c r="CC137" s="75"/>
      <c r="CD137" s="75"/>
      <c r="CE137" s="75"/>
      <c r="CF137" s="75"/>
      <c r="CG137" s="75"/>
      <c r="CH137" s="92"/>
      <c r="CJ137" s="136">
        <f>$W$56</f>
        <v>36</v>
      </c>
      <c r="CK137" s="136" t="str">
        <f t="shared" si="9"/>
        <v>Iniciados</v>
      </c>
      <c r="CL137" s="136" t="str">
        <f t="shared" si="10"/>
        <v>Singulares</v>
      </c>
      <c r="CM137" s="136" t="str">
        <f t="shared" si="11"/>
        <v>Femininos</v>
      </c>
      <c r="CN137" s="136" t="str">
        <f>"Jogo 5º/6º lugar"</f>
        <v>Jogo 5º/6º lugar</v>
      </c>
      <c r="CO137" s="136" t="str">
        <f>$P$52</f>
        <v>Disputa 5º/6º Jogador1</v>
      </c>
      <c r="CP137" s="136" t="str">
        <f>$P$60</f>
        <v>Disputa 5º/6º Jogador2</v>
      </c>
    </row>
    <row r="138" spans="53:94" ht="15" hidden="1" customHeight="1">
      <c r="BA138" s="88"/>
      <c r="BB138" s="300"/>
      <c r="BC138" s="301"/>
      <c r="BD138" s="79"/>
      <c r="BE138" s="80"/>
      <c r="BF138" s="80"/>
      <c r="BG138" s="80"/>
      <c r="BH138" s="80"/>
      <c r="BI138" s="80"/>
      <c r="BJ138" s="80"/>
      <c r="BK138" s="80"/>
      <c r="BL138" s="80"/>
      <c r="BM138" s="81"/>
      <c r="BN138" s="255"/>
      <c r="BO138" s="257"/>
      <c r="BP138" s="82"/>
      <c r="BQ138" s="82"/>
      <c r="BR138" s="82"/>
      <c r="BS138" s="83"/>
      <c r="BT138" s="80"/>
      <c r="BU138" s="80"/>
      <c r="BV138" s="80"/>
      <c r="BW138" s="80"/>
      <c r="BX138" s="255"/>
      <c r="BY138" s="81"/>
      <c r="BZ138" s="80"/>
      <c r="CA138" s="80"/>
      <c r="CB138" s="80"/>
      <c r="CC138" s="80"/>
      <c r="CD138" s="80"/>
      <c r="CE138" s="80"/>
      <c r="CF138" s="80"/>
      <c r="CG138" s="80"/>
      <c r="CH138" s="98" t="s">
        <v>1</v>
      </c>
      <c r="CJ138" s="136">
        <v>37</v>
      </c>
      <c r="CK138" s="136" t="str">
        <f t="shared" si="9"/>
        <v>Iniciados</v>
      </c>
      <c r="CL138" s="136" t="str">
        <f t="shared" si="10"/>
        <v>Singulares</v>
      </c>
      <c r="CM138" s="136" t="str">
        <f t="shared" si="11"/>
        <v>Femininos</v>
      </c>
      <c r="CN138" s="136" t="str">
        <f>"Disp 9º-12º - Jogo1"</f>
        <v>Disp 9º-12º - Jogo1</v>
      </c>
      <c r="CO138" s="136" t="str">
        <f>$I$68</f>
        <v>3º  do Grupo A</v>
      </c>
      <c r="CP138" s="136" t="str">
        <f>$I$72</f>
        <v>3º  do Grupo B</v>
      </c>
    </row>
    <row r="139" spans="53:94" ht="15" hidden="1" customHeight="1">
      <c r="BA139" s="88"/>
      <c r="BB139" s="298" t="str">
        <f>IF($BB$133="","",$BB$133)</f>
        <v/>
      </c>
      <c r="BC139" s="299"/>
      <c r="BD139" s="74"/>
      <c r="BE139" s="75"/>
      <c r="BF139" s="75"/>
      <c r="BG139" s="75"/>
      <c r="BH139" s="75"/>
      <c r="BI139" s="75"/>
      <c r="BJ139" s="75"/>
      <c r="BK139" s="75"/>
      <c r="BL139" s="75"/>
      <c r="BM139" s="76"/>
      <c r="BN139" s="254"/>
      <c r="BO139" s="256"/>
      <c r="BP139" s="77"/>
      <c r="BQ139" s="77"/>
      <c r="BR139" s="77"/>
      <c r="BS139" s="78"/>
      <c r="BT139" s="75"/>
      <c r="BU139" s="75"/>
      <c r="BV139" s="75"/>
      <c r="BW139" s="75"/>
      <c r="BX139" s="254"/>
      <c r="BY139" s="76"/>
      <c r="BZ139" s="75"/>
      <c r="CA139" s="75"/>
      <c r="CB139" s="75"/>
      <c r="CC139" s="75"/>
      <c r="CD139" s="75"/>
      <c r="CE139" s="75"/>
      <c r="CF139" s="75"/>
      <c r="CG139" s="75"/>
      <c r="CH139" s="99"/>
      <c r="CJ139" s="136">
        <v>38</v>
      </c>
      <c r="CK139" s="136" t="str">
        <f t="shared" si="9"/>
        <v>Iniciados</v>
      </c>
      <c r="CL139" s="136" t="str">
        <f t="shared" si="10"/>
        <v>Singulares</v>
      </c>
      <c r="CM139" s="136" t="str">
        <f t="shared" si="11"/>
        <v>Femininos</v>
      </c>
      <c r="CN139" s="136" t="str">
        <f>"Disp 9º-12º - Jogo2"</f>
        <v>Disp 9º-12º - Jogo2</v>
      </c>
      <c r="CO139" s="136" t="str">
        <f>$I$76</f>
        <v>3º  do Grupo C</v>
      </c>
      <c r="CP139" s="136" t="str">
        <f>$I$80</f>
        <v>3º  do Grupo D</v>
      </c>
    </row>
    <row r="140" spans="53:94" ht="15" hidden="1" customHeight="1">
      <c r="BA140" s="88"/>
      <c r="BB140" s="300"/>
      <c r="BC140" s="301"/>
      <c r="BD140" s="79"/>
      <c r="BE140" s="80"/>
      <c r="BF140" s="80"/>
      <c r="BG140" s="80"/>
      <c r="BH140" s="80"/>
      <c r="BI140" s="80"/>
      <c r="BJ140" s="80"/>
      <c r="BK140" s="80"/>
      <c r="BL140" s="80"/>
      <c r="BM140" s="81"/>
      <c r="BN140" s="255"/>
      <c r="BO140" s="257"/>
      <c r="BP140" s="82"/>
      <c r="BQ140" s="82"/>
      <c r="BR140" s="82"/>
      <c r="BS140" s="83"/>
      <c r="BT140" s="80"/>
      <c r="BU140" s="80"/>
      <c r="BV140" s="80"/>
      <c r="BW140" s="80"/>
      <c r="BX140" s="255"/>
      <c r="BY140" s="81"/>
      <c r="BZ140" s="80"/>
      <c r="CA140" s="80"/>
      <c r="CB140" s="80"/>
      <c r="CC140" s="80"/>
      <c r="CD140" s="80"/>
      <c r="CE140" s="80"/>
      <c r="CF140" s="80"/>
      <c r="CG140" s="80"/>
      <c r="CH140" s="92"/>
      <c r="CJ140" s="136">
        <v>39</v>
      </c>
      <c r="CK140" s="136" t="str">
        <f t="shared" si="9"/>
        <v>Iniciados</v>
      </c>
      <c r="CL140" s="136" t="str">
        <f t="shared" si="10"/>
        <v>Singulares</v>
      </c>
      <c r="CM140" s="136" t="str">
        <f t="shared" si="11"/>
        <v>Femininos</v>
      </c>
      <c r="CN140" s="136" t="str">
        <f>"Jogo 11º/12º lugar"</f>
        <v>Jogo 11º/12º lugar</v>
      </c>
      <c r="CO140" s="136" t="str">
        <f>$P$72</f>
        <v>Disputa 11º/12º  Jogador1</v>
      </c>
      <c r="CP140" s="136" t="str">
        <f>$P$76</f>
        <v>Disputa 11º/12º  Jogador2</v>
      </c>
    </row>
    <row r="141" spans="53:94" ht="12.75" hidden="1" customHeight="1">
      <c r="BA141" s="88"/>
      <c r="BB141" s="84"/>
      <c r="BC141" s="84"/>
      <c r="BD141" s="100">
        <v>1</v>
      </c>
      <c r="BE141" s="100">
        <v>2</v>
      </c>
      <c r="BF141" s="100">
        <v>3</v>
      </c>
      <c r="BG141" s="100">
        <v>4</v>
      </c>
      <c r="BH141" s="100">
        <v>5</v>
      </c>
      <c r="BI141" s="100">
        <v>6</v>
      </c>
      <c r="BJ141" s="100">
        <v>7</v>
      </c>
      <c r="BK141" s="100">
        <v>8</v>
      </c>
      <c r="BL141" s="100">
        <v>9</v>
      </c>
      <c r="BM141" s="100">
        <v>10</v>
      </c>
      <c r="BN141" s="100">
        <v>11</v>
      </c>
      <c r="BO141" s="100">
        <v>12</v>
      </c>
      <c r="BP141" s="100">
        <v>13</v>
      </c>
      <c r="BQ141" s="100">
        <v>14</v>
      </c>
      <c r="BR141" s="100">
        <v>15</v>
      </c>
      <c r="BS141" s="100">
        <v>16</v>
      </c>
      <c r="BT141" s="100">
        <v>17</v>
      </c>
      <c r="BU141" s="100">
        <v>18</v>
      </c>
      <c r="BV141" s="100">
        <v>19</v>
      </c>
      <c r="BW141" s="100">
        <v>20</v>
      </c>
      <c r="BX141" s="100">
        <v>21</v>
      </c>
      <c r="BY141" s="100">
        <v>22</v>
      </c>
      <c r="BZ141" s="100">
        <v>23</v>
      </c>
      <c r="CA141" s="100">
        <v>24</v>
      </c>
      <c r="CB141" s="100">
        <v>25</v>
      </c>
      <c r="CC141" s="100">
        <v>26</v>
      </c>
      <c r="CD141" s="100">
        <v>27</v>
      </c>
      <c r="CE141" s="100">
        <v>28</v>
      </c>
      <c r="CF141" s="100">
        <v>29</v>
      </c>
      <c r="CG141" s="100">
        <v>30</v>
      </c>
      <c r="CH141" s="101"/>
      <c r="CJ141" s="136">
        <v>40</v>
      </c>
      <c r="CK141" s="136" t="str">
        <f t="shared" si="9"/>
        <v>Iniciados</v>
      </c>
      <c r="CL141" s="136" t="str">
        <f t="shared" si="10"/>
        <v>Singulares</v>
      </c>
      <c r="CM141" s="136" t="str">
        <f t="shared" si="11"/>
        <v>Femininos</v>
      </c>
      <c r="CN141" s="136" t="str">
        <f>"Jogo 9º/10º lugar"</f>
        <v>Jogo 9º/10º lugar</v>
      </c>
      <c r="CO141" s="136" t="str">
        <f>$P$70</f>
        <v>Disputa 9º/10º Jogador1</v>
      </c>
      <c r="CP141" s="136" t="str">
        <f>$P$78</f>
        <v>Disputa 9º/10º Jogador2</v>
      </c>
    </row>
    <row r="142" spans="53:94" ht="15" hidden="1" customHeight="1">
      <c r="BA142" s="88"/>
      <c r="BB142" s="298" t="str">
        <f>IF($BB$131="","",$BB$131)</f>
        <v>Aida Nunes (DSRNorte)</v>
      </c>
      <c r="BC142" s="299"/>
      <c r="BD142" s="74"/>
      <c r="BE142" s="75"/>
      <c r="BF142" s="75"/>
      <c r="BG142" s="75"/>
      <c r="BH142" s="75"/>
      <c r="BI142" s="75"/>
      <c r="BJ142" s="75"/>
      <c r="BK142" s="75"/>
      <c r="BL142" s="75"/>
      <c r="BM142" s="76"/>
      <c r="BN142" s="254"/>
      <c r="BO142" s="256"/>
      <c r="BP142" s="77"/>
      <c r="BQ142" s="77"/>
      <c r="BR142" s="77"/>
      <c r="BS142" s="78"/>
      <c r="BT142" s="75"/>
      <c r="BU142" s="75"/>
      <c r="BV142" s="75"/>
      <c r="BW142" s="75"/>
      <c r="BX142" s="254"/>
      <c r="BY142" s="76"/>
      <c r="BZ142" s="75"/>
      <c r="CA142" s="75"/>
      <c r="CB142" s="75"/>
      <c r="CC142" s="75"/>
      <c r="CD142" s="75"/>
      <c r="CE142" s="75"/>
      <c r="CF142" s="75"/>
      <c r="CG142" s="75"/>
      <c r="CH142" s="92"/>
      <c r="CJ142" s="136">
        <v>41</v>
      </c>
      <c r="CK142" s="136" t="str">
        <f t="shared" si="9"/>
        <v>Iniciados</v>
      </c>
      <c r="CL142" s="136" t="str">
        <f t="shared" si="10"/>
        <v>Singulares</v>
      </c>
      <c r="CM142" s="136" t="str">
        <f t="shared" si="11"/>
        <v>Femininos</v>
      </c>
      <c r="CN142" s="136" t="str">
        <f>"Disp 13º-16º - Jogo1"</f>
        <v>Disp 13º-16º - Jogo1</v>
      </c>
      <c r="CO142" s="136" t="str">
        <f>$I$86</f>
        <v>4º  do Grupo A</v>
      </c>
      <c r="CP142" s="136" t="str">
        <f>$I$90</f>
        <v>4º  do Grupo B</v>
      </c>
    </row>
    <row r="143" spans="53:94" ht="15" hidden="1" customHeight="1">
      <c r="BA143" s="88"/>
      <c r="BB143" s="300"/>
      <c r="BC143" s="301"/>
      <c r="BD143" s="79"/>
      <c r="BE143" s="80"/>
      <c r="BF143" s="80"/>
      <c r="BG143" s="80"/>
      <c r="BH143" s="80"/>
      <c r="BI143" s="80"/>
      <c r="BJ143" s="80"/>
      <c r="BK143" s="80"/>
      <c r="BL143" s="80"/>
      <c r="BM143" s="81"/>
      <c r="BN143" s="255"/>
      <c r="BO143" s="257"/>
      <c r="BP143" s="82"/>
      <c r="BQ143" s="82"/>
      <c r="BR143" s="82"/>
      <c r="BS143" s="83"/>
      <c r="BT143" s="80"/>
      <c r="BU143" s="80"/>
      <c r="BV143" s="80"/>
      <c r="BW143" s="80"/>
      <c r="BX143" s="255"/>
      <c r="BY143" s="81"/>
      <c r="BZ143" s="80"/>
      <c r="CA143" s="80"/>
      <c r="CB143" s="80"/>
      <c r="CC143" s="80"/>
      <c r="CD143" s="80"/>
      <c r="CE143" s="80"/>
      <c r="CF143" s="80"/>
      <c r="CG143" s="80"/>
      <c r="CH143" s="92"/>
      <c r="CJ143" s="136">
        <v>42</v>
      </c>
      <c r="CK143" s="136" t="str">
        <f t="shared" si="9"/>
        <v>Iniciados</v>
      </c>
      <c r="CL143" s="136" t="str">
        <f t="shared" si="10"/>
        <v>Singulares</v>
      </c>
      <c r="CM143" s="136" t="str">
        <f t="shared" si="11"/>
        <v>Femininos</v>
      </c>
      <c r="CN143" s="136" t="str">
        <f>"Disp 13º-16º - Jogo2"</f>
        <v>Disp 13º-16º - Jogo2</v>
      </c>
      <c r="CO143" s="136" t="str">
        <f>$I$94</f>
        <v>4º  do Grupo C</v>
      </c>
      <c r="CP143" s="136" t="str">
        <f>$I$98</f>
        <v>4º  do Grupo D</v>
      </c>
    </row>
    <row r="144" spans="53:94" ht="15" hidden="1" customHeight="1">
      <c r="BA144" s="88"/>
      <c r="BB144" s="298" t="str">
        <f>IF($BB$133="","",$BB$133)</f>
        <v/>
      </c>
      <c r="BC144" s="299"/>
      <c r="BD144" s="74"/>
      <c r="BE144" s="75"/>
      <c r="BF144" s="75"/>
      <c r="BG144" s="75"/>
      <c r="BH144" s="75"/>
      <c r="BI144" s="75"/>
      <c r="BJ144" s="75"/>
      <c r="BK144" s="75"/>
      <c r="BL144" s="75"/>
      <c r="BM144" s="76"/>
      <c r="BN144" s="254"/>
      <c r="BO144" s="256"/>
      <c r="BP144" s="77"/>
      <c r="BQ144" s="77"/>
      <c r="BR144" s="77"/>
      <c r="BS144" s="78"/>
      <c r="BT144" s="75"/>
      <c r="BU144" s="75"/>
      <c r="BV144" s="75"/>
      <c r="BW144" s="75"/>
      <c r="BX144" s="254"/>
      <c r="BY144" s="76"/>
      <c r="BZ144" s="75"/>
      <c r="CA144" s="75"/>
      <c r="CB144" s="75"/>
      <c r="CC144" s="75"/>
      <c r="CD144" s="75"/>
      <c r="CE144" s="75"/>
      <c r="CF144" s="75"/>
      <c r="CG144" s="75"/>
      <c r="CH144" s="98" t="s">
        <v>2</v>
      </c>
      <c r="CJ144" s="136">
        <v>43</v>
      </c>
      <c r="CK144" s="136" t="str">
        <f t="shared" si="9"/>
        <v>Iniciados</v>
      </c>
      <c r="CL144" s="136" t="str">
        <f t="shared" si="10"/>
        <v>Singulares</v>
      </c>
      <c r="CM144" s="136" t="str">
        <f t="shared" si="11"/>
        <v>Femininos</v>
      </c>
      <c r="CN144" s="136" t="str">
        <f>"Jogo 15º/16º lugar"</f>
        <v>Jogo 15º/16º lugar</v>
      </c>
      <c r="CO144" s="136" t="str">
        <f>$P$90</f>
        <v>Disputa 15º/16º  Jogador1</v>
      </c>
      <c r="CP144" s="136" t="str">
        <f>$P$94</f>
        <v>Disputa 15º/16º  Jogador2</v>
      </c>
    </row>
    <row r="145" spans="53:94" ht="15" hidden="1" customHeight="1">
      <c r="BA145" s="88"/>
      <c r="BB145" s="300"/>
      <c r="BC145" s="301"/>
      <c r="BD145" s="79"/>
      <c r="BE145" s="80"/>
      <c r="BF145" s="80"/>
      <c r="BG145" s="80"/>
      <c r="BH145" s="80"/>
      <c r="BI145" s="80"/>
      <c r="BJ145" s="80"/>
      <c r="BK145" s="80"/>
      <c r="BL145" s="80"/>
      <c r="BM145" s="81"/>
      <c r="BN145" s="255"/>
      <c r="BO145" s="257"/>
      <c r="BP145" s="82"/>
      <c r="BQ145" s="82"/>
      <c r="BR145" s="82"/>
      <c r="BS145" s="83"/>
      <c r="BT145" s="80"/>
      <c r="BU145" s="80"/>
      <c r="BV145" s="80"/>
      <c r="BW145" s="80"/>
      <c r="BX145" s="255"/>
      <c r="BY145" s="81"/>
      <c r="BZ145" s="80"/>
      <c r="CA145" s="80"/>
      <c r="CB145" s="80"/>
      <c r="CC145" s="80"/>
      <c r="CD145" s="80"/>
      <c r="CE145" s="80"/>
      <c r="CF145" s="80"/>
      <c r="CG145" s="80"/>
      <c r="CH145" s="92"/>
      <c r="CJ145" s="136">
        <v>44</v>
      </c>
      <c r="CK145" s="136" t="str">
        <f t="shared" si="9"/>
        <v>Iniciados</v>
      </c>
      <c r="CL145" s="136" t="str">
        <f t="shared" si="10"/>
        <v>Singulares</v>
      </c>
      <c r="CM145" s="136" t="str">
        <f t="shared" si="11"/>
        <v>Femininos</v>
      </c>
      <c r="CN145" s="136" t="str">
        <f>"Jogo 13º/14º lugar"</f>
        <v>Jogo 13º/14º lugar</v>
      </c>
      <c r="CO145" s="136" t="str">
        <f>$P$88</f>
        <v>Disputa 13º/14º Jogador1</v>
      </c>
      <c r="CP145" s="136" t="str">
        <f>$P$96</f>
        <v>Disputa 13º/14º Jogador2</v>
      </c>
    </row>
    <row r="146" spans="53:94" ht="12.75" hidden="1" customHeight="1">
      <c r="BA146" s="88"/>
      <c r="BB146" s="84"/>
      <c r="BC146" s="84"/>
      <c r="BD146" s="100">
        <v>1</v>
      </c>
      <c r="BE146" s="100">
        <v>2</v>
      </c>
      <c r="BF146" s="100">
        <v>3</v>
      </c>
      <c r="BG146" s="100">
        <v>4</v>
      </c>
      <c r="BH146" s="100">
        <v>5</v>
      </c>
      <c r="BI146" s="100">
        <v>6</v>
      </c>
      <c r="BJ146" s="100">
        <v>7</v>
      </c>
      <c r="BK146" s="100">
        <v>8</v>
      </c>
      <c r="BL146" s="100">
        <v>9</v>
      </c>
      <c r="BM146" s="100">
        <v>10</v>
      </c>
      <c r="BN146" s="100">
        <v>11</v>
      </c>
      <c r="BO146" s="100">
        <v>12</v>
      </c>
      <c r="BP146" s="100">
        <v>13</v>
      </c>
      <c r="BQ146" s="100">
        <v>14</v>
      </c>
      <c r="BR146" s="100">
        <v>15</v>
      </c>
      <c r="BS146" s="100">
        <v>16</v>
      </c>
      <c r="BT146" s="100">
        <v>17</v>
      </c>
      <c r="BU146" s="100">
        <v>18</v>
      </c>
      <c r="BV146" s="100">
        <v>19</v>
      </c>
      <c r="BW146" s="100">
        <v>20</v>
      </c>
      <c r="BX146" s="100">
        <v>21</v>
      </c>
      <c r="BY146" s="100">
        <v>22</v>
      </c>
      <c r="BZ146" s="100">
        <v>23</v>
      </c>
      <c r="CA146" s="100">
        <v>24</v>
      </c>
      <c r="CB146" s="100">
        <v>25</v>
      </c>
      <c r="CC146" s="100">
        <v>26</v>
      </c>
      <c r="CD146" s="100">
        <v>27</v>
      </c>
      <c r="CE146" s="100">
        <v>28</v>
      </c>
      <c r="CF146" s="100">
        <v>29</v>
      </c>
      <c r="CG146" s="100">
        <v>30</v>
      </c>
      <c r="CH146" s="101"/>
    </row>
    <row r="147" spans="53:94" ht="15" hidden="1" customHeight="1">
      <c r="BA147" s="88"/>
      <c r="BB147" s="298" t="str">
        <f>IF($BB$131="","",$BB$131)</f>
        <v>Aida Nunes (DSRNorte)</v>
      </c>
      <c r="BC147" s="299"/>
      <c r="BD147" s="74"/>
      <c r="BE147" s="75"/>
      <c r="BF147" s="75"/>
      <c r="BG147" s="75"/>
      <c r="BH147" s="75"/>
      <c r="BI147" s="75"/>
      <c r="BJ147" s="75"/>
      <c r="BK147" s="75"/>
      <c r="BL147" s="75"/>
      <c r="BM147" s="76"/>
      <c r="BN147" s="254"/>
      <c r="BO147" s="256"/>
      <c r="BP147" s="77"/>
      <c r="BQ147" s="77"/>
      <c r="BR147" s="77"/>
      <c r="BS147" s="78"/>
      <c r="BT147" s="75"/>
      <c r="BU147" s="75"/>
      <c r="BV147" s="75"/>
      <c r="BW147" s="75"/>
      <c r="BX147" s="254"/>
      <c r="BY147" s="76"/>
      <c r="BZ147" s="75"/>
      <c r="CA147" s="75"/>
      <c r="CB147" s="75"/>
      <c r="CC147" s="75"/>
      <c r="CD147" s="75"/>
      <c r="CE147" s="75"/>
      <c r="CF147" s="75"/>
      <c r="CG147" s="75"/>
      <c r="CH147" s="92"/>
    </row>
    <row r="148" spans="53:94" ht="15" hidden="1" customHeight="1">
      <c r="BA148" s="88"/>
      <c r="BB148" s="300"/>
      <c r="BC148" s="301"/>
      <c r="BD148" s="79"/>
      <c r="BE148" s="80"/>
      <c r="BF148" s="80"/>
      <c r="BG148" s="80"/>
      <c r="BH148" s="80"/>
      <c r="BI148" s="80"/>
      <c r="BJ148" s="80"/>
      <c r="BK148" s="80"/>
      <c r="BL148" s="80"/>
      <c r="BM148" s="81"/>
      <c r="BN148" s="255"/>
      <c r="BO148" s="257"/>
      <c r="BP148" s="82"/>
      <c r="BQ148" s="82"/>
      <c r="BR148" s="82"/>
      <c r="BS148" s="83"/>
      <c r="BT148" s="80"/>
      <c r="BU148" s="80"/>
      <c r="BV148" s="80"/>
      <c r="BW148" s="80"/>
      <c r="BX148" s="255"/>
      <c r="BY148" s="81"/>
      <c r="BZ148" s="80"/>
      <c r="CA148" s="80"/>
      <c r="CB148" s="80"/>
      <c r="CC148" s="80"/>
      <c r="CD148" s="80"/>
      <c r="CE148" s="80"/>
      <c r="CF148" s="80"/>
      <c r="CG148" s="80"/>
      <c r="CH148" s="92"/>
    </row>
    <row r="149" spans="53:94" ht="15" hidden="1" customHeight="1">
      <c r="BA149" s="88"/>
      <c r="BB149" s="298" t="str">
        <f>IF($BB$133="","",$BB$133)</f>
        <v/>
      </c>
      <c r="BC149" s="299"/>
      <c r="BD149" s="74"/>
      <c r="BE149" s="75"/>
      <c r="BF149" s="75"/>
      <c r="BG149" s="75"/>
      <c r="BH149" s="75"/>
      <c r="BI149" s="75"/>
      <c r="BJ149" s="75"/>
      <c r="BK149" s="75"/>
      <c r="BL149" s="75"/>
      <c r="BM149" s="76"/>
      <c r="BN149" s="254"/>
      <c r="BO149" s="256"/>
      <c r="BP149" s="77"/>
      <c r="BQ149" s="77"/>
      <c r="BR149" s="77"/>
      <c r="BS149" s="78"/>
      <c r="BT149" s="75"/>
      <c r="BU149" s="75"/>
      <c r="BV149" s="75"/>
      <c r="BW149" s="75"/>
      <c r="BX149" s="254"/>
      <c r="BY149" s="76"/>
      <c r="BZ149" s="75"/>
      <c r="CA149" s="75"/>
      <c r="CB149" s="75"/>
      <c r="CC149" s="75"/>
      <c r="CD149" s="75"/>
      <c r="CE149" s="75"/>
      <c r="CF149" s="75"/>
      <c r="CG149" s="75"/>
      <c r="CH149" s="98" t="s">
        <v>3</v>
      </c>
    </row>
    <row r="150" spans="53:94" ht="15" hidden="1" customHeight="1">
      <c r="BA150" s="88"/>
      <c r="BB150" s="300"/>
      <c r="BC150" s="301"/>
      <c r="BD150" s="79"/>
      <c r="BE150" s="80"/>
      <c r="BF150" s="80"/>
      <c r="BG150" s="80"/>
      <c r="BH150" s="80"/>
      <c r="BI150" s="80"/>
      <c r="BJ150" s="80"/>
      <c r="BK150" s="80"/>
      <c r="BL150" s="80"/>
      <c r="BM150" s="81"/>
      <c r="BN150" s="255"/>
      <c r="BO150" s="257"/>
      <c r="BP150" s="82"/>
      <c r="BQ150" s="82"/>
      <c r="BR150" s="82"/>
      <c r="BS150" s="83"/>
      <c r="BT150" s="80"/>
      <c r="BU150" s="80"/>
      <c r="BV150" s="80"/>
      <c r="BW150" s="80"/>
      <c r="BX150" s="255"/>
      <c r="BY150" s="81"/>
      <c r="BZ150" s="80"/>
      <c r="CA150" s="80"/>
      <c r="CB150" s="80"/>
      <c r="CC150" s="80"/>
      <c r="CD150" s="80"/>
      <c r="CE150" s="80"/>
      <c r="CF150" s="80"/>
      <c r="CG150" s="80"/>
      <c r="CH150" s="92"/>
    </row>
    <row r="151" spans="53:94" ht="65.25" hidden="1" customHeight="1">
      <c r="BA151" s="102"/>
      <c r="BB151" s="103" t="s">
        <v>36</v>
      </c>
      <c r="BC151" s="104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1"/>
    </row>
    <row r="152" spans="53:94" ht="26.25" hidden="1" customHeight="1">
      <c r="BA152" s="296"/>
      <c r="BB152" s="296"/>
      <c r="BC152" s="296"/>
      <c r="BD152" s="296"/>
      <c r="BE152" s="296"/>
      <c r="BF152" s="296"/>
      <c r="BG152" s="296"/>
      <c r="BH152" s="296"/>
      <c r="BI152" s="296"/>
      <c r="BJ152" s="296"/>
      <c r="BK152" s="296"/>
      <c r="BL152" s="296"/>
      <c r="BM152" s="296"/>
      <c r="BN152" s="296"/>
      <c r="BO152" s="296"/>
      <c r="BP152" s="296"/>
      <c r="BQ152" s="296"/>
      <c r="BR152" s="296"/>
      <c r="BS152" s="296"/>
      <c r="BT152" s="296"/>
      <c r="BU152" s="296"/>
      <c r="BV152" s="296"/>
      <c r="BW152" s="296"/>
      <c r="BX152" s="296"/>
      <c r="BY152" s="296"/>
      <c r="BZ152" s="296"/>
      <c r="CA152" s="296"/>
      <c r="CB152" s="296"/>
      <c r="CC152" s="296"/>
      <c r="CD152" s="296"/>
      <c r="CE152" s="296"/>
      <c r="CF152" s="296"/>
      <c r="CG152" s="296"/>
      <c r="CH152" s="296"/>
    </row>
    <row r="153" spans="53:94" ht="22.5" hidden="1" customHeight="1"/>
    <row r="154" spans="53:94" ht="22.5" hidden="1" customHeight="1"/>
    <row r="155" spans="53:94" ht="22.5" hidden="1" customHeight="1"/>
  </sheetData>
  <sheetProtection password="E82C" sheet="1" objects="1" scenarios="1" formatCells="0" formatColumns="0" formatRows="0" autoFilter="0"/>
  <autoFilter ref="AN6:AZ54">
    <filterColumn colId="2" showButton="0"/>
    <filterColumn colId="3" showButton="0"/>
    <filterColumn colId="4" showButton="0"/>
  </autoFilter>
  <mergeCells count="326">
    <mergeCell ref="BA152:CH152"/>
    <mergeCell ref="BB137:BC138"/>
    <mergeCell ref="BB139:BC140"/>
    <mergeCell ref="BB142:BC143"/>
    <mergeCell ref="BB144:BC145"/>
    <mergeCell ref="BB147:BC148"/>
    <mergeCell ref="BB149:BC150"/>
    <mergeCell ref="BB133:BC134"/>
    <mergeCell ref="BD133:BF134"/>
    <mergeCell ref="BG133:BI134"/>
    <mergeCell ref="BJ133:BL134"/>
    <mergeCell ref="BO133:BQ134"/>
    <mergeCell ref="BC135:BL135"/>
    <mergeCell ref="BM135:BQ135"/>
    <mergeCell ref="BA126:CH126"/>
    <mergeCell ref="BB127:BN127"/>
    <mergeCell ref="BB130:BC130"/>
    <mergeCell ref="BB131:BC132"/>
    <mergeCell ref="BD131:BF132"/>
    <mergeCell ref="BG131:BI132"/>
    <mergeCell ref="BJ131:BL132"/>
    <mergeCell ref="BO131:BQ132"/>
    <mergeCell ref="BB111:BC112"/>
    <mergeCell ref="BB113:BC114"/>
    <mergeCell ref="BB116:BC117"/>
    <mergeCell ref="BB118:BC119"/>
    <mergeCell ref="BB121:BC122"/>
    <mergeCell ref="BB123:BC124"/>
    <mergeCell ref="BB107:BC108"/>
    <mergeCell ref="BD107:BF108"/>
    <mergeCell ref="BG107:BI108"/>
    <mergeCell ref="BJ107:BL108"/>
    <mergeCell ref="BO107:BQ108"/>
    <mergeCell ref="BC109:BL109"/>
    <mergeCell ref="BM109:BQ109"/>
    <mergeCell ref="BB104:BC104"/>
    <mergeCell ref="BB105:BC106"/>
    <mergeCell ref="BD105:BF106"/>
    <mergeCell ref="BG105:BI106"/>
    <mergeCell ref="BJ105:BL106"/>
    <mergeCell ref="BO105:BQ106"/>
    <mergeCell ref="I94:K94"/>
    <mergeCell ref="P94:R94"/>
    <mergeCell ref="P96:S96"/>
    <mergeCell ref="I98:K98"/>
    <mergeCell ref="BA100:CH100"/>
    <mergeCell ref="BB101:BN101"/>
    <mergeCell ref="I90:K90"/>
    <mergeCell ref="P90:R90"/>
    <mergeCell ref="AP90:AS90"/>
    <mergeCell ref="P92:U92"/>
    <mergeCell ref="X92:AC92"/>
    <mergeCell ref="Y93:AC93"/>
    <mergeCell ref="Y87:AC87"/>
    <mergeCell ref="AP87:AS87"/>
    <mergeCell ref="P88:S88"/>
    <mergeCell ref="Y88:AC88"/>
    <mergeCell ref="AP88:AS88"/>
    <mergeCell ref="Y89:AC89"/>
    <mergeCell ref="AP89:AS89"/>
    <mergeCell ref="I84:W85"/>
    <mergeCell ref="Y84:AD85"/>
    <mergeCell ref="AP84:AS84"/>
    <mergeCell ref="AP85:AS85"/>
    <mergeCell ref="I86:K86"/>
    <mergeCell ref="Y86:AC86"/>
    <mergeCell ref="AP86:AS86"/>
    <mergeCell ref="Y75:AC75"/>
    <mergeCell ref="I76:K76"/>
    <mergeCell ref="P76:R76"/>
    <mergeCell ref="P78:S78"/>
    <mergeCell ref="I80:K80"/>
    <mergeCell ref="AP83:AS83"/>
    <mergeCell ref="Y71:AC71"/>
    <mergeCell ref="AP71:AS71"/>
    <mergeCell ref="I72:K72"/>
    <mergeCell ref="P72:R72"/>
    <mergeCell ref="AP72:AS72"/>
    <mergeCell ref="P74:U74"/>
    <mergeCell ref="X74:AC74"/>
    <mergeCell ref="I68:K68"/>
    <mergeCell ref="Y68:AC68"/>
    <mergeCell ref="AP68:AS68"/>
    <mergeCell ref="Y69:AC69"/>
    <mergeCell ref="AP69:AS69"/>
    <mergeCell ref="P70:S70"/>
    <mergeCell ref="Y70:AC70"/>
    <mergeCell ref="AP70:AS70"/>
    <mergeCell ref="I62:K62"/>
    <mergeCell ref="AP65:AS65"/>
    <mergeCell ref="I66:W67"/>
    <mergeCell ref="Y66:AD67"/>
    <mergeCell ref="AP66:AS66"/>
    <mergeCell ref="AP67:AS67"/>
    <mergeCell ref="P56:U56"/>
    <mergeCell ref="X56:AC56"/>
    <mergeCell ref="Y57:AC57"/>
    <mergeCell ref="I58:K58"/>
    <mergeCell ref="P58:R58"/>
    <mergeCell ref="P60:S60"/>
    <mergeCell ref="P52:S52"/>
    <mergeCell ref="Y52:AC52"/>
    <mergeCell ref="AP52:AS52"/>
    <mergeCell ref="Y53:AC53"/>
    <mergeCell ref="AP53:AS53"/>
    <mergeCell ref="I54:K54"/>
    <mergeCell ref="P54:R54"/>
    <mergeCell ref="AP54:AS54"/>
    <mergeCell ref="B49:D49"/>
    <mergeCell ref="AP49:AS49"/>
    <mergeCell ref="I50:K50"/>
    <mergeCell ref="Y50:AC50"/>
    <mergeCell ref="AP50:AS50"/>
    <mergeCell ref="Y51:AC51"/>
    <mergeCell ref="AP51:AS51"/>
    <mergeCell ref="AP45:AS45"/>
    <mergeCell ref="AP46:AS46"/>
    <mergeCell ref="AP47:AS47"/>
    <mergeCell ref="I48:W49"/>
    <mergeCell ref="Y48:AD49"/>
    <mergeCell ref="AP48:AS48"/>
    <mergeCell ref="C42:D42"/>
    <mergeCell ref="AP42:AS42"/>
    <mergeCell ref="I43:K43"/>
    <mergeCell ref="AP43:AS43"/>
    <mergeCell ref="C44:D44"/>
    <mergeCell ref="AP44:AS44"/>
    <mergeCell ref="I39:K39"/>
    <mergeCell ref="P39:R39"/>
    <mergeCell ref="AP39:AS39"/>
    <mergeCell ref="C40:D40"/>
    <mergeCell ref="AP40:AS40"/>
    <mergeCell ref="P41:S41"/>
    <mergeCell ref="AP41:AS41"/>
    <mergeCell ref="C36:D36"/>
    <mergeCell ref="AP36:AS36"/>
    <mergeCell ref="P37:U37"/>
    <mergeCell ref="X37:AC37"/>
    <mergeCell ref="AP37:AS37"/>
    <mergeCell ref="C38:D38"/>
    <mergeCell ref="Y38:AC38"/>
    <mergeCell ref="AP38:AS38"/>
    <mergeCell ref="C34:D34"/>
    <mergeCell ref="Y34:AC34"/>
    <mergeCell ref="AP34:AS34"/>
    <mergeCell ref="I35:K35"/>
    <mergeCell ref="P35:R35"/>
    <mergeCell ref="AP35:AS35"/>
    <mergeCell ref="AP31:AS31"/>
    <mergeCell ref="C32:D32"/>
    <mergeCell ref="Y32:AC32"/>
    <mergeCell ref="AP32:AS32"/>
    <mergeCell ref="P33:S33"/>
    <mergeCell ref="Y33:AC33"/>
    <mergeCell ref="AP33:AS33"/>
    <mergeCell ref="AP27:AS27"/>
    <mergeCell ref="C28:P28"/>
    <mergeCell ref="AP28:AS28"/>
    <mergeCell ref="Y29:AD30"/>
    <mergeCell ref="AG29:AJ31"/>
    <mergeCell ref="AP29:AS29"/>
    <mergeCell ref="C30:D30"/>
    <mergeCell ref="AP30:AS30"/>
    <mergeCell ref="I31:K31"/>
    <mergeCell ref="Y31:AC31"/>
    <mergeCell ref="Y26:Z26"/>
    <mergeCell ref="AG26:AH26"/>
    <mergeCell ref="AI26:AJ26"/>
    <mergeCell ref="AP26:AS26"/>
    <mergeCell ref="D27:E27"/>
    <mergeCell ref="K27:L27"/>
    <mergeCell ref="R27:S27"/>
    <mergeCell ref="Y27:Z27"/>
    <mergeCell ref="AG27:AH28"/>
    <mergeCell ref="AI27:AJ28"/>
    <mergeCell ref="C26:C27"/>
    <mergeCell ref="D26:E26"/>
    <mergeCell ref="J26:J27"/>
    <mergeCell ref="K26:L26"/>
    <mergeCell ref="Q26:Q27"/>
    <mergeCell ref="R26:S26"/>
    <mergeCell ref="X24:X25"/>
    <mergeCell ref="Y24:Z24"/>
    <mergeCell ref="AE24:AE27"/>
    <mergeCell ref="AP24:AS24"/>
    <mergeCell ref="D25:E25"/>
    <mergeCell ref="K25:L25"/>
    <mergeCell ref="R25:S25"/>
    <mergeCell ref="Y25:Z25"/>
    <mergeCell ref="AP25:AS25"/>
    <mergeCell ref="X26:X27"/>
    <mergeCell ref="C24:C25"/>
    <mergeCell ref="D24:E24"/>
    <mergeCell ref="J24:J25"/>
    <mergeCell ref="K24:L24"/>
    <mergeCell ref="Q24:Q25"/>
    <mergeCell ref="R24:S24"/>
    <mergeCell ref="X22:X23"/>
    <mergeCell ref="Y22:Z22"/>
    <mergeCell ref="AP22:AS22"/>
    <mergeCell ref="D23:E23"/>
    <mergeCell ref="K23:L23"/>
    <mergeCell ref="R23:S23"/>
    <mergeCell ref="Y23:Z23"/>
    <mergeCell ref="AP23:AS23"/>
    <mergeCell ref="C22:C23"/>
    <mergeCell ref="D22:E22"/>
    <mergeCell ref="J22:J23"/>
    <mergeCell ref="K22:L22"/>
    <mergeCell ref="Q22:Q23"/>
    <mergeCell ref="R22:S22"/>
    <mergeCell ref="X20:X21"/>
    <mergeCell ref="Y20:Z20"/>
    <mergeCell ref="AE20:AE23"/>
    <mergeCell ref="AK20:AL20"/>
    <mergeCell ref="AP20:AS20"/>
    <mergeCell ref="D21:E21"/>
    <mergeCell ref="K21:L21"/>
    <mergeCell ref="R21:S21"/>
    <mergeCell ref="Y21:Z21"/>
    <mergeCell ref="AP21:AS21"/>
    <mergeCell ref="C20:C21"/>
    <mergeCell ref="D20:E20"/>
    <mergeCell ref="J20:J21"/>
    <mergeCell ref="K20:L20"/>
    <mergeCell ref="Q20:Q21"/>
    <mergeCell ref="R20:S20"/>
    <mergeCell ref="Y18:Z18"/>
    <mergeCell ref="AP18:AS18"/>
    <mergeCell ref="D19:E19"/>
    <mergeCell ref="K19:L19"/>
    <mergeCell ref="R19:S19"/>
    <mergeCell ref="Y19:Z19"/>
    <mergeCell ref="AP19:AS19"/>
    <mergeCell ref="C18:C19"/>
    <mergeCell ref="D18:E18"/>
    <mergeCell ref="J18:J19"/>
    <mergeCell ref="K18:L18"/>
    <mergeCell ref="Q18:Q19"/>
    <mergeCell ref="R18:S18"/>
    <mergeCell ref="X16:X17"/>
    <mergeCell ref="Y16:Z16"/>
    <mergeCell ref="AE16:AE19"/>
    <mergeCell ref="AP16:AS16"/>
    <mergeCell ref="D17:E17"/>
    <mergeCell ref="K17:L17"/>
    <mergeCell ref="R17:S17"/>
    <mergeCell ref="Y17:Z17"/>
    <mergeCell ref="AP17:AS17"/>
    <mergeCell ref="X18:X19"/>
    <mergeCell ref="C16:C17"/>
    <mergeCell ref="D16:E16"/>
    <mergeCell ref="J16:J17"/>
    <mergeCell ref="K16:L16"/>
    <mergeCell ref="Q16:Q17"/>
    <mergeCell ref="R16:S16"/>
    <mergeCell ref="D15:H15"/>
    <mergeCell ref="K15:O15"/>
    <mergeCell ref="R15:V15"/>
    <mergeCell ref="Y15:AC15"/>
    <mergeCell ref="AK15:AL15"/>
    <mergeCell ref="AP15:AS15"/>
    <mergeCell ref="D13:H13"/>
    <mergeCell ref="K13:O13"/>
    <mergeCell ref="R13:V13"/>
    <mergeCell ref="Y13:AC13"/>
    <mergeCell ref="AP13:AS13"/>
    <mergeCell ref="D14:H14"/>
    <mergeCell ref="K14:O14"/>
    <mergeCell ref="R14:V14"/>
    <mergeCell ref="Y14:AC14"/>
    <mergeCell ref="AP14:AS14"/>
    <mergeCell ref="C11:I11"/>
    <mergeCell ref="J11:P11"/>
    <mergeCell ref="Q11:W11"/>
    <mergeCell ref="X11:AD11"/>
    <mergeCell ref="AP11:AS11"/>
    <mergeCell ref="D12:H12"/>
    <mergeCell ref="K12:O12"/>
    <mergeCell ref="R12:V12"/>
    <mergeCell ref="Y12:AC12"/>
    <mergeCell ref="AP12:AS12"/>
    <mergeCell ref="D10:F10"/>
    <mergeCell ref="K10:M10"/>
    <mergeCell ref="R10:T10"/>
    <mergeCell ref="Y10:AA10"/>
    <mergeCell ref="AK10:AL10"/>
    <mergeCell ref="AP10:AS10"/>
    <mergeCell ref="AI8:AI9"/>
    <mergeCell ref="AJ8:AJ9"/>
    <mergeCell ref="AP8:AS8"/>
    <mergeCell ref="D9:F9"/>
    <mergeCell ref="K9:M9"/>
    <mergeCell ref="R9:T9"/>
    <mergeCell ref="Y9:AA9"/>
    <mergeCell ref="AP9:AS9"/>
    <mergeCell ref="K7:M7"/>
    <mergeCell ref="R7:T7"/>
    <mergeCell ref="Y7:AA7"/>
    <mergeCell ref="AP7:AS7"/>
    <mergeCell ref="D8:F8"/>
    <mergeCell ref="K8:M8"/>
    <mergeCell ref="R8:T8"/>
    <mergeCell ref="Y8:AA8"/>
    <mergeCell ref="AG8:AG9"/>
    <mergeCell ref="AH8:AH9"/>
    <mergeCell ref="X5:AD5"/>
    <mergeCell ref="AG5:AJ7"/>
    <mergeCell ref="AN5:AS5"/>
    <mergeCell ref="AT5:AZ5"/>
    <mergeCell ref="D6:F6"/>
    <mergeCell ref="K6:M6"/>
    <mergeCell ref="R6:T6"/>
    <mergeCell ref="Y6:AA6"/>
    <mergeCell ref="AP6:AS6"/>
    <mergeCell ref="D7:F7"/>
    <mergeCell ref="C2:F2"/>
    <mergeCell ref="H2:X2"/>
    <mergeCell ref="AN2:AZ4"/>
    <mergeCell ref="BB2:BT11"/>
    <mergeCell ref="C3:F3"/>
    <mergeCell ref="H3:O3"/>
    <mergeCell ref="Q3:X3"/>
    <mergeCell ref="C5:I5"/>
    <mergeCell ref="J5:P5"/>
    <mergeCell ref="Q5:W5"/>
  </mergeCells>
  <printOptions horizontalCentered="1" verticalCentered="1"/>
  <pageMargins left="0.19685039370078741" right="0.19685039370078741" top="0" bottom="0" header="0.15748031496062992" footer="0.15748031496062992"/>
  <pageSetup paperSize="9"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B1:CP155"/>
  <sheetViews>
    <sheetView showGridLines="0" zoomScale="80" zoomScaleNormal="80" workbookViewId="0">
      <selection activeCell="D10" sqref="D10:F10"/>
    </sheetView>
  </sheetViews>
  <sheetFormatPr defaultRowHeight="12.75"/>
  <cols>
    <col min="1" max="1" width="1.42578125" style="1" customWidth="1"/>
    <col min="2" max="2" width="2.140625" style="1" customWidth="1"/>
    <col min="3" max="3" width="3.28515625" style="34" customWidth="1"/>
    <col min="4" max="4" width="24.140625" style="1" customWidth="1"/>
    <col min="5" max="5" width="2.85546875" style="1" customWidth="1"/>
    <col min="6" max="9" width="3.28515625" style="1" customWidth="1"/>
    <col min="10" max="10" width="3.28515625" style="34" customWidth="1"/>
    <col min="11" max="11" width="24.140625" style="1" customWidth="1"/>
    <col min="12" max="12" width="2.85546875" style="1" customWidth="1"/>
    <col min="13" max="13" width="3.42578125" style="1" customWidth="1"/>
    <col min="14" max="16" width="3.28515625" style="1" customWidth="1"/>
    <col min="17" max="17" width="3.28515625" style="34" customWidth="1"/>
    <col min="18" max="18" width="24.140625" style="1" customWidth="1"/>
    <col min="19" max="19" width="2.85546875" style="1" customWidth="1"/>
    <col min="20" max="23" width="3.28515625" style="1" customWidth="1"/>
    <col min="24" max="24" width="3.28515625" style="34" customWidth="1"/>
    <col min="25" max="25" width="24.140625" style="1" customWidth="1"/>
    <col min="26" max="26" width="1.85546875" style="1" customWidth="1"/>
    <col min="27" max="29" width="3.28515625" style="1" customWidth="1"/>
    <col min="30" max="30" width="4" style="1" customWidth="1"/>
    <col min="31" max="31" width="6.140625" style="1" customWidth="1"/>
    <col min="32" max="32" width="5" style="1" hidden="1" customWidth="1"/>
    <col min="33" max="36" width="5.85546875" style="1" hidden="1" customWidth="1"/>
    <col min="37" max="38" width="6.85546875" style="1" hidden="1" customWidth="1"/>
    <col min="39" max="39" width="6.7109375" style="1" hidden="1" customWidth="1"/>
    <col min="40" max="41" width="9.140625" style="1" hidden="1" customWidth="1"/>
    <col min="42" max="45" width="3.28515625" style="1" hidden="1" customWidth="1"/>
    <col min="46" max="46" width="11" style="1" hidden="1" customWidth="1"/>
    <col min="47" max="48" width="9.140625" style="1" hidden="1" customWidth="1"/>
    <col min="49" max="49" width="14" style="1" hidden="1" customWidth="1"/>
    <col min="50" max="51" width="9.140625" style="1" hidden="1" customWidth="1"/>
    <col min="52" max="52" width="13.85546875" style="1" hidden="1" customWidth="1"/>
    <col min="53" max="53" width="2.85546875" style="1" hidden="1" customWidth="1"/>
    <col min="54" max="54" width="34.7109375" style="1" hidden="1" customWidth="1"/>
    <col min="55" max="55" width="8.140625" style="1" hidden="1" customWidth="1"/>
    <col min="56" max="80" width="3.28515625" style="1" hidden="1" customWidth="1"/>
    <col min="81" max="85" width="3.28515625" style="1" customWidth="1"/>
    <col min="86" max="86" width="2.85546875" style="1" customWidth="1"/>
    <col min="87" max="87" width="9.140625" style="1"/>
    <col min="88" max="88" width="7.5703125" style="1" customWidth="1"/>
    <col min="89" max="91" width="9.140625" style="1"/>
    <col min="92" max="92" width="22" style="1" customWidth="1"/>
    <col min="93" max="94" width="27.28515625" style="1" customWidth="1"/>
    <col min="95" max="16384" width="9.140625" style="1"/>
  </cols>
  <sheetData>
    <row r="1" spans="2:72" ht="9" customHeight="1"/>
    <row r="2" spans="2:72" ht="28.5" customHeight="1">
      <c r="B2" s="125"/>
      <c r="C2" s="443" t="s">
        <v>239</v>
      </c>
      <c r="D2" s="443"/>
      <c r="E2" s="443"/>
      <c r="F2" s="443"/>
      <c r="G2" s="110"/>
      <c r="H2" s="444" t="s">
        <v>241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110"/>
      <c r="Z2" s="110"/>
      <c r="AA2" s="110"/>
      <c r="AB2" s="110"/>
      <c r="AC2" s="110"/>
      <c r="AD2" s="110" t="s">
        <v>18</v>
      </c>
      <c r="AE2" s="3"/>
      <c r="AN2" s="445" t="s">
        <v>61</v>
      </c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</row>
    <row r="3" spans="2:72" ht="20.25" customHeight="1">
      <c r="B3" s="126"/>
      <c r="C3" s="446" t="s">
        <v>240</v>
      </c>
      <c r="D3" s="446"/>
      <c r="E3" s="446"/>
      <c r="F3" s="446"/>
      <c r="G3" s="111"/>
      <c r="H3" s="447" t="s">
        <v>261</v>
      </c>
      <c r="I3" s="447"/>
      <c r="J3" s="447"/>
      <c r="K3" s="447"/>
      <c r="L3" s="447"/>
      <c r="M3" s="447"/>
      <c r="N3" s="447"/>
      <c r="O3" s="447"/>
      <c r="P3" s="112" t="s">
        <v>32</v>
      </c>
      <c r="Q3" s="448" t="s">
        <v>25</v>
      </c>
      <c r="R3" s="448"/>
      <c r="S3" s="448"/>
      <c r="T3" s="448"/>
      <c r="U3" s="448"/>
      <c r="V3" s="448"/>
      <c r="W3" s="448"/>
      <c r="X3" s="448"/>
      <c r="Y3" s="111"/>
      <c r="Z3" s="111"/>
      <c r="AA3" s="111"/>
      <c r="AB3" s="111"/>
      <c r="AC3" s="111"/>
      <c r="AD3" s="111"/>
      <c r="AE3" s="113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</row>
    <row r="4" spans="2:72" ht="13.5" customHeight="1" thickBot="1">
      <c r="B4" s="126"/>
      <c r="C4" s="115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P4" s="114" t="s">
        <v>20</v>
      </c>
      <c r="Q4" s="115"/>
      <c r="R4" s="114"/>
      <c r="S4" s="114"/>
      <c r="T4" s="114"/>
      <c r="U4" s="114"/>
      <c r="V4" s="114"/>
      <c r="W4" s="114" t="s">
        <v>19</v>
      </c>
      <c r="X4" s="115"/>
      <c r="Y4" s="114"/>
      <c r="Z4" s="114"/>
      <c r="AA4" s="114"/>
      <c r="AB4" s="114"/>
      <c r="AC4" s="114"/>
      <c r="AD4" s="114"/>
      <c r="AE4" s="116"/>
      <c r="AF4" s="106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</row>
    <row r="5" spans="2:72" ht="28.5" customHeight="1" thickBot="1">
      <c r="B5" s="126"/>
      <c r="C5" s="449" t="s">
        <v>7</v>
      </c>
      <c r="D5" s="450"/>
      <c r="E5" s="450"/>
      <c r="F5" s="450"/>
      <c r="G5" s="450"/>
      <c r="H5" s="450"/>
      <c r="I5" s="451"/>
      <c r="J5" s="449" t="s">
        <v>8</v>
      </c>
      <c r="K5" s="450"/>
      <c r="L5" s="450"/>
      <c r="M5" s="450"/>
      <c r="N5" s="450"/>
      <c r="O5" s="450"/>
      <c r="P5" s="451"/>
      <c r="Q5" s="449" t="s">
        <v>9</v>
      </c>
      <c r="R5" s="450"/>
      <c r="S5" s="450"/>
      <c r="T5" s="450"/>
      <c r="U5" s="450"/>
      <c r="V5" s="450"/>
      <c r="W5" s="451"/>
      <c r="X5" s="449" t="s">
        <v>10</v>
      </c>
      <c r="Y5" s="450"/>
      <c r="Z5" s="450"/>
      <c r="AA5" s="450"/>
      <c r="AB5" s="450"/>
      <c r="AC5" s="450"/>
      <c r="AD5" s="451"/>
      <c r="AE5" s="117"/>
      <c r="AF5" s="107"/>
      <c r="AG5" s="452" t="s">
        <v>48</v>
      </c>
      <c r="AH5" s="452"/>
      <c r="AI5" s="452"/>
      <c r="AJ5" s="452"/>
      <c r="AN5" s="454" t="s">
        <v>53</v>
      </c>
      <c r="AO5" s="454"/>
      <c r="AP5" s="454"/>
      <c r="AQ5" s="454"/>
      <c r="AR5" s="454"/>
      <c r="AS5" s="455"/>
      <c r="AT5" s="456" t="s">
        <v>52</v>
      </c>
      <c r="AU5" s="457"/>
      <c r="AV5" s="457"/>
      <c r="AW5" s="457"/>
      <c r="AX5" s="457"/>
      <c r="AY5" s="457"/>
      <c r="AZ5" s="458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</row>
    <row r="6" spans="2:72" ht="18" customHeight="1" thickBot="1">
      <c r="B6" s="126"/>
      <c r="C6" s="2"/>
      <c r="D6" s="459" t="s">
        <v>11</v>
      </c>
      <c r="E6" s="459"/>
      <c r="F6" s="459"/>
      <c r="G6" s="3"/>
      <c r="H6" s="4" t="s">
        <v>6</v>
      </c>
      <c r="I6" s="5"/>
      <c r="J6" s="2"/>
      <c r="K6" s="459" t="s">
        <v>11</v>
      </c>
      <c r="L6" s="459"/>
      <c r="M6" s="459"/>
      <c r="N6" s="3"/>
      <c r="O6" s="4" t="s">
        <v>6</v>
      </c>
      <c r="P6" s="5"/>
      <c r="Q6" s="2"/>
      <c r="R6" s="459" t="s">
        <v>11</v>
      </c>
      <c r="S6" s="459"/>
      <c r="T6" s="459"/>
      <c r="U6" s="3"/>
      <c r="V6" s="4" t="s">
        <v>6</v>
      </c>
      <c r="W6" s="5"/>
      <c r="X6" s="2"/>
      <c r="Y6" s="459" t="s">
        <v>11</v>
      </c>
      <c r="Z6" s="459"/>
      <c r="AA6" s="459"/>
      <c r="AB6" s="3"/>
      <c r="AC6" s="4" t="s">
        <v>6</v>
      </c>
      <c r="AD6" s="5"/>
      <c r="AE6" s="117"/>
      <c r="AF6" s="107"/>
      <c r="AG6" s="452"/>
      <c r="AH6" s="452"/>
      <c r="AI6" s="452"/>
      <c r="AJ6" s="452"/>
      <c r="AN6" s="241" t="s">
        <v>51</v>
      </c>
      <c r="AO6" s="242" t="s">
        <v>43</v>
      </c>
      <c r="AP6" s="460" t="s">
        <v>54</v>
      </c>
      <c r="AQ6" s="461"/>
      <c r="AR6" s="461"/>
      <c r="AS6" s="462"/>
      <c r="AT6" s="249" t="s">
        <v>62</v>
      </c>
      <c r="AU6" s="243" t="s">
        <v>55</v>
      </c>
      <c r="AV6" s="244" t="s">
        <v>56</v>
      </c>
      <c r="AW6" s="245" t="s">
        <v>57</v>
      </c>
      <c r="AX6" s="246" t="s">
        <v>58</v>
      </c>
      <c r="AY6" s="247" t="s">
        <v>59</v>
      </c>
      <c r="AZ6" s="248" t="s">
        <v>60</v>
      </c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</row>
    <row r="7" spans="2:72" ht="19.5" customHeight="1" thickBot="1">
      <c r="B7" s="126"/>
      <c r="C7" s="6"/>
      <c r="D7" s="442" t="s">
        <v>270</v>
      </c>
      <c r="E7" s="442"/>
      <c r="F7" s="442"/>
      <c r="G7" s="7" t="s">
        <v>17</v>
      </c>
      <c r="H7" s="8" t="str">
        <f>IF(COUNT(F$16,F$22,F$27)=0,"",SUM(AND(F$16&lt;&gt;"",F$17&lt;&gt;"",F$16&gt;F$17),AND(F$22&lt;&gt;"",F$23&lt;&gt;"",F$22&gt;F$23),AND(F$27&lt;&gt;"",F$26&lt;&gt;"",F$27&gt;F$26)))</f>
        <v/>
      </c>
      <c r="I7" s="9"/>
      <c r="J7" s="6"/>
      <c r="K7" s="442" t="s">
        <v>295</v>
      </c>
      <c r="L7" s="442"/>
      <c r="M7" s="442"/>
      <c r="N7" s="7" t="s">
        <v>17</v>
      </c>
      <c r="O7" s="8" t="str">
        <f>IF(COUNT(M$16,M$22,M$27)=0,"",SUM(AND(M$16&lt;&gt;"",M$17&lt;&gt;"",M$16&gt;M$17),AND(M$22&lt;&gt;"",M$23&lt;&gt;"",M$22&gt;M$23),AND(M$27&lt;&gt;"",M$26&lt;&gt;"",M$27&gt;M$26)))</f>
        <v/>
      </c>
      <c r="P7" s="9"/>
      <c r="Q7" s="6"/>
      <c r="R7" s="442" t="s">
        <v>265</v>
      </c>
      <c r="S7" s="442"/>
      <c r="T7" s="442"/>
      <c r="U7" s="7" t="s">
        <v>17</v>
      </c>
      <c r="V7" s="8" t="str">
        <f>IF(COUNT(T$16,T$22,T$27)=0,"",SUM(AND(T$16&lt;&gt;"",T$17&lt;&gt;"",T$16&gt;T$17),AND(T$22&lt;&gt;"",T$23&lt;&gt;"",T$22&gt;T$23),AND(T$27&lt;&gt;"",T$26&lt;&gt;"",T$27&gt;T$26)))</f>
        <v/>
      </c>
      <c r="W7" s="9"/>
      <c r="X7" s="6"/>
      <c r="Y7" s="442" t="s">
        <v>267</v>
      </c>
      <c r="Z7" s="442"/>
      <c r="AA7" s="442"/>
      <c r="AB7" s="7" t="s">
        <v>17</v>
      </c>
      <c r="AC7" s="8" t="str">
        <f>IF(COUNT(AA$16,AA$22,AA$27)=0,"",SUM(AND(AA$16&lt;&gt;"",AA$17&lt;&gt;"",AA$16&gt;AA$17),AND(AA$22&lt;&gt;"",AA$23&lt;&gt;"",AA$22&gt;AA$23),AND(AA$27&lt;&gt;"",AA$26&lt;&gt;"",AA$27&gt;AA$26)))</f>
        <v/>
      </c>
      <c r="AD7" s="9"/>
      <c r="AE7" s="113"/>
      <c r="AG7" s="453"/>
      <c r="AH7" s="453"/>
      <c r="AI7" s="453"/>
      <c r="AJ7" s="453"/>
      <c r="AN7" s="173">
        <f>IF($C16="","",$C16)</f>
        <v>1</v>
      </c>
      <c r="AO7" s="174" t="str">
        <f>IF($C$5="","",$C$5)</f>
        <v>Grupo A</v>
      </c>
      <c r="AP7" s="376" t="str">
        <f>IF($D$16="","",$D$16)</f>
        <v>A Carvalho/A Lisboa (Lisboa)</v>
      </c>
      <c r="AQ7" s="377" t="str">
        <f t="shared" ref="AQ7:AS22" si="0">IF($C$5="","",$C$5)</f>
        <v>Grupo A</v>
      </c>
      <c r="AR7" s="377" t="str">
        <f t="shared" si="0"/>
        <v>Grupo A</v>
      </c>
      <c r="AS7" s="378" t="str">
        <f t="shared" si="0"/>
        <v>Grupo A</v>
      </c>
      <c r="AT7" s="176" t="str">
        <f>IF(COUNT($F$16:$F$17)&lt;2,"",IF($F$16&gt;$F$17,"V",IF($F$16&lt;$F$17,"D","Empate??")))</f>
        <v/>
      </c>
      <c r="AU7" s="177" t="str">
        <f>IF(COUNT($F$16:$F$17)&lt;2,"",$F$16)</f>
        <v/>
      </c>
      <c r="AV7" s="178" t="str">
        <f>IF(COUNT($F$16:$F$17)&lt;2,"",$F$17)</f>
        <v/>
      </c>
      <c r="AW7" s="179" t="str">
        <f>IF(COUNT($AU$7:$AV$7)=0,"",$AU$7-$AV$7)</f>
        <v/>
      </c>
      <c r="AX7" s="178" t="str">
        <f>IF(COUNT($F$16:$F$17)&lt;2,"",SUM($G$16:$I$16))</f>
        <v/>
      </c>
      <c r="AY7" s="180" t="str">
        <f>IF(COUNT($F$16:$F$17)&lt;2,"",SUM($G$17:$I$17))</f>
        <v/>
      </c>
      <c r="AZ7" s="181" t="str">
        <f>IF(COUNT($AX7:$AY7)=0,"",$AX7-$AY7)</f>
        <v/>
      </c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</row>
    <row r="8" spans="2:72" ht="19.5" customHeight="1">
      <c r="B8" s="126"/>
      <c r="C8" s="6"/>
      <c r="D8" s="442" t="s">
        <v>294</v>
      </c>
      <c r="E8" s="442"/>
      <c r="F8" s="442"/>
      <c r="G8" s="10" t="s">
        <v>17</v>
      </c>
      <c r="H8" s="8" t="str">
        <f>IF(COUNT(F$18,F$23,F$24)=0,"",SUM(AND(F$18&lt;&gt;"",F$19&lt;&gt;"",F$18&gt;F$19),AND(F$22&lt;&gt;"",F$23&lt;&gt;"",F$23&gt;F$22),AND(F$24&lt;&gt;"",F$25&lt;&gt;"",F$24&gt;F$25)))</f>
        <v/>
      </c>
      <c r="I8" s="9"/>
      <c r="J8" s="6"/>
      <c r="K8" s="442" t="s">
        <v>263</v>
      </c>
      <c r="L8" s="442"/>
      <c r="M8" s="442"/>
      <c r="N8" s="10" t="s">
        <v>17</v>
      </c>
      <c r="O8" s="8" t="str">
        <f>IF(COUNT(M$18,M$23,M$24)=0,"",SUM(AND(M$18&lt;&gt;"",M$19&lt;&gt;"",M$18&gt;M$19),AND(M$22&lt;&gt;"",M$23&lt;&gt;"",M$23&gt;M$22),AND(M$24&lt;&gt;"",M$25&lt;&gt;"",M$24&gt;M$25)))</f>
        <v/>
      </c>
      <c r="P8" s="9"/>
      <c r="Q8" s="6"/>
      <c r="R8" s="442" t="s">
        <v>266</v>
      </c>
      <c r="S8" s="442"/>
      <c r="T8" s="442"/>
      <c r="U8" s="10" t="s">
        <v>17</v>
      </c>
      <c r="V8" s="8" t="str">
        <f>IF(COUNT(T$18,T$23,T$24)=0,"",SUM(AND(T$18&lt;&gt;"",T$19&lt;&gt;"",T$18&gt;T$19),AND(T$22&lt;&gt;"",T$23&lt;&gt;"",T$23&gt;T$22),AND(T$24&lt;&gt;"",T$25&lt;&gt;"",T$24&gt;T$25)))</f>
        <v/>
      </c>
      <c r="W8" s="9"/>
      <c r="X8" s="6"/>
      <c r="Y8" s="442" t="s">
        <v>268</v>
      </c>
      <c r="Z8" s="442"/>
      <c r="AA8" s="442"/>
      <c r="AB8" s="10" t="s">
        <v>17</v>
      </c>
      <c r="AC8" s="8" t="str">
        <f>IF(COUNT(AA$18,AA$23,AA$24)=0,"",SUM(AND(AA$18&lt;&gt;"",AA$19&lt;&gt;"",AA$18&gt;AA$19),AND(AA$22&lt;&gt;"",AA$23&lt;&gt;"",AA$23&gt;AA$22),AND(AA$24&lt;&gt;"",AA$25&lt;&gt;"",AA$24&gt;AA$25)))</f>
        <v/>
      </c>
      <c r="AD8" s="9"/>
      <c r="AE8" s="113"/>
      <c r="AG8" s="438" t="s">
        <v>41</v>
      </c>
      <c r="AH8" s="440" t="s">
        <v>42</v>
      </c>
      <c r="AI8" s="438" t="s">
        <v>41</v>
      </c>
      <c r="AJ8" s="440" t="s">
        <v>42</v>
      </c>
      <c r="AN8" s="182">
        <f>IF($C16="","",$C16)</f>
        <v>1</v>
      </c>
      <c r="AO8" s="171" t="str">
        <f t="shared" ref="AO8:AO18" si="1">IF($C$5="","",$C$5)</f>
        <v>Grupo A</v>
      </c>
      <c r="AP8" s="367" t="str">
        <f>IF($D$17="","",$D$17)</f>
        <v/>
      </c>
      <c r="AQ8" s="368" t="str">
        <f t="shared" si="0"/>
        <v>Grupo A</v>
      </c>
      <c r="AR8" s="368" t="str">
        <f t="shared" si="0"/>
        <v>Grupo A</v>
      </c>
      <c r="AS8" s="369" t="str">
        <f t="shared" si="0"/>
        <v>Grupo A</v>
      </c>
      <c r="AT8" s="183" t="str">
        <f>IF(COUNT($F$16:$F$17)&lt;2,"",IF($F$16&lt;$F$17,"V",IF($F$16&gt;$F$17,"D","Empate??")))</f>
        <v/>
      </c>
      <c r="AU8" s="184" t="str">
        <f>IF(COUNT($F$16:$F$17)&lt;2,"",$F$17)</f>
        <v/>
      </c>
      <c r="AV8" s="185" t="str">
        <f>IF(COUNT($F$16:$F$17)&lt;2,"",$F$16)</f>
        <v/>
      </c>
      <c r="AW8" s="186" t="str">
        <f>IF(COUNT($AU8:$AV8)=0,"",$AU8-$AV8)</f>
        <v/>
      </c>
      <c r="AX8" s="185" t="str">
        <f>IF(COUNT($F$16:$F$17)&lt;2,"",SUM($G$17:$I$17))</f>
        <v/>
      </c>
      <c r="AY8" s="187" t="str">
        <f>IF(COUNT($F$16:$F$17)&lt;2,"",SUM($G$16:$I$16))</f>
        <v/>
      </c>
      <c r="AZ8" s="188" t="str">
        <f t="shared" ref="AZ8:AZ54" si="2">IF(COUNT($AX8:$AY8)=0,"",$AX8-$AY8)</f>
        <v/>
      </c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</row>
    <row r="9" spans="2:72" ht="19.5" customHeight="1" thickBot="1">
      <c r="B9" s="126"/>
      <c r="C9" s="6"/>
      <c r="D9" s="442"/>
      <c r="E9" s="442"/>
      <c r="F9" s="442"/>
      <c r="G9" s="10" t="s">
        <v>17</v>
      </c>
      <c r="H9" s="8" t="str">
        <f>IF(COUNT(F$19,F$21,F$26)=0,"",SUM(AND(F$18&lt;&gt;"",F$19&lt;&gt;"",F$19&gt;F$18),AND(F$20&lt;&gt;"",F$21&lt;&gt;"",F$21&gt;F$20),AND(F$26&lt;&gt;"",F$27&lt;&gt;"",F$26&gt;F$27)))</f>
        <v/>
      </c>
      <c r="I9" s="9"/>
      <c r="J9" s="6"/>
      <c r="K9" s="442" t="s">
        <v>264</v>
      </c>
      <c r="L9" s="442"/>
      <c r="M9" s="442"/>
      <c r="N9" s="10" t="s">
        <v>17</v>
      </c>
      <c r="O9" s="8" t="str">
        <f>IF(COUNT(M$19,M$21,M$26)=0,"",SUM(AND(M$18&lt;&gt;"",M$19&lt;&gt;"",M$19&gt;M$18),AND(M$20&lt;&gt;"",M$21&lt;&gt;"",M$21&gt;M$20),AND(M$26&lt;&gt;"",M$27&lt;&gt;"",M$26&gt;M$27)))</f>
        <v/>
      </c>
      <c r="P9" s="9"/>
      <c r="Q9" s="6"/>
      <c r="R9" s="442"/>
      <c r="S9" s="442"/>
      <c r="T9" s="442"/>
      <c r="U9" s="10" t="s">
        <v>17</v>
      </c>
      <c r="V9" s="8" t="str">
        <f>IF(COUNT(T$19,T$21,T$26)=0,"",SUM(AND(T$18&lt;&gt;"",T$19&lt;&gt;"",T$19&gt;T$18),AND(T$20&lt;&gt;"",T$21&lt;&gt;"",T$21&gt;T$20),AND(T$26&lt;&gt;"",T$27&lt;&gt;"",T$26&gt;T$27)))</f>
        <v/>
      </c>
      <c r="W9" s="9"/>
      <c r="X9" s="6"/>
      <c r="Y9" s="442" t="s">
        <v>269</v>
      </c>
      <c r="Z9" s="442"/>
      <c r="AA9" s="442"/>
      <c r="AB9" s="10" t="s">
        <v>17</v>
      </c>
      <c r="AC9" s="8" t="str">
        <f>IF(COUNT(AA$19,AA$21,AA$26)=0,"",SUM(AND(AA$18&lt;&gt;"",AA$19&lt;&gt;"",AA$19&gt;AA$18),AND(AA$20&lt;&gt;"",AA$21&lt;&gt;"",AA$21&gt;AA$20),AND(AA$26&lt;&gt;"",AA$27&lt;&gt;"",AA$26&gt;AA$27)))</f>
        <v/>
      </c>
      <c r="AD9" s="9"/>
      <c r="AE9" s="113"/>
      <c r="AG9" s="439"/>
      <c r="AH9" s="441"/>
      <c r="AI9" s="439"/>
      <c r="AJ9" s="441"/>
      <c r="AN9" s="189">
        <f>IF($C18="","",$C18)</f>
        <v>2</v>
      </c>
      <c r="AO9" s="172" t="str">
        <f t="shared" si="1"/>
        <v>Grupo A</v>
      </c>
      <c r="AP9" s="364" t="str">
        <f>IF($D$18="","",$D$18)</f>
        <v>G Almeida/H Aston (Norte)</v>
      </c>
      <c r="AQ9" s="365" t="str">
        <f t="shared" si="0"/>
        <v>Grupo A</v>
      </c>
      <c r="AR9" s="365" t="str">
        <f t="shared" si="0"/>
        <v>Grupo A</v>
      </c>
      <c r="AS9" s="366" t="str">
        <f t="shared" si="0"/>
        <v>Grupo A</v>
      </c>
      <c r="AT9" s="190" t="str">
        <f>IF(COUNT($F$18:$F$19)&lt;2,"",IF($F$18&gt;$F$19,"V",IF($F$18&lt;$F$19,"D","Empate??")))</f>
        <v/>
      </c>
      <c r="AU9" s="191" t="str">
        <f>IF(COUNT($F$18:$F$19)&lt;2,"",$F$18)</f>
        <v/>
      </c>
      <c r="AV9" s="192" t="str">
        <f>IF(COUNT($F$18:$F$19)&lt;2,"",$F$19)</f>
        <v/>
      </c>
      <c r="AW9" s="193" t="str">
        <f t="shared" ref="AW9:AW54" si="3">IF(COUNT($AU9:$AV9)=0,"",$AU9-$AV9)</f>
        <v/>
      </c>
      <c r="AX9" s="192" t="str">
        <f>IF(COUNT($F$18:$F$19)&lt;2,"",SUM($G$18:$I$18))</f>
        <v/>
      </c>
      <c r="AY9" s="194" t="str">
        <f>IF(COUNT($F$18:$F$19)&lt;2,"",SUM($G$19:$I$19))</f>
        <v/>
      </c>
      <c r="AZ9" s="195" t="str">
        <f t="shared" si="2"/>
        <v/>
      </c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</row>
    <row r="10" spans="2:72" ht="19.5" customHeight="1" thickBot="1">
      <c r="B10" s="126"/>
      <c r="C10" s="6"/>
      <c r="D10" s="442"/>
      <c r="E10" s="442"/>
      <c r="F10" s="442"/>
      <c r="G10" s="10" t="s">
        <v>17</v>
      </c>
      <c r="H10" s="11" t="str">
        <f>IF(COUNT(F$17,F$20,F$25)=0,"",SUM(AND(F$16&lt;&gt;"",F$17&lt;&gt;"",F$17&gt;F$16),AND(F$20&lt;&gt;"",F$21&lt;&gt;"",F$20&gt;F$21),AND(F$24&lt;&gt;"",F$25&lt;&gt;"",F$25&gt;F$24)))</f>
        <v/>
      </c>
      <c r="I10" s="12"/>
      <c r="J10" s="6"/>
      <c r="K10" s="442"/>
      <c r="L10" s="442"/>
      <c r="M10" s="442"/>
      <c r="N10" s="10" t="s">
        <v>17</v>
      </c>
      <c r="O10" s="11" t="str">
        <f>IF(COUNT(M$17,M$20,M$25)=0,"",SUM(AND(M$16&lt;&gt;"",M$17&lt;&gt;"",M$17&gt;M$16),AND(M$20&lt;&gt;"",M$21&lt;&gt;"",M$20&gt;M$21),AND(M$24&lt;&gt;"",M$25&lt;&gt;"",M$25&gt;M$24)))</f>
        <v/>
      </c>
      <c r="P10" s="12"/>
      <c r="Q10" s="6"/>
      <c r="R10" s="442"/>
      <c r="S10" s="442"/>
      <c r="T10" s="442"/>
      <c r="U10" s="10" t="s">
        <v>17</v>
      </c>
      <c r="V10" s="11" t="str">
        <f>IF(COUNT(T$17,T$20,T$25)=0,"",SUM(AND(T$16&lt;&gt;"",T$17&lt;&gt;"",T$17&gt;T$16),AND(T$20&lt;&gt;"",T$21&lt;&gt;"",T$20&gt;T$21),AND(T$24&lt;&gt;"",T$25&lt;&gt;"",T$25&gt;T$24)))</f>
        <v/>
      </c>
      <c r="W10" s="12"/>
      <c r="X10" s="6"/>
      <c r="Y10" s="442"/>
      <c r="Z10" s="442"/>
      <c r="AA10" s="442"/>
      <c r="AB10" s="10" t="s">
        <v>17</v>
      </c>
      <c r="AC10" s="11" t="str">
        <f>IF(COUNT(AA$17,AA$20,AA$25)=0,"",SUM(AND(AA$16&lt;&gt;"",AA$17&lt;&gt;"",AA$17&gt;AA$16),AND(AA$20&lt;&gt;"",AA$21&lt;&gt;"",AA$20&gt;AA$21),AND(AA$24&lt;&gt;"",AA$25&lt;&gt;"",AA$25&gt;AA$24)))</f>
        <v/>
      </c>
      <c r="AD10" s="12"/>
      <c r="AE10" s="113"/>
      <c r="AG10" s="159">
        <f>$C$16</f>
        <v>1</v>
      </c>
      <c r="AH10" s="160"/>
      <c r="AI10" s="159">
        <f>$C$24</f>
        <v>17</v>
      </c>
      <c r="AJ10" s="160"/>
      <c r="AK10" s="431" t="s">
        <v>50</v>
      </c>
      <c r="AL10" s="432"/>
      <c r="AN10" s="182">
        <f>IF($C18="","",$C18)</f>
        <v>2</v>
      </c>
      <c r="AO10" s="171" t="str">
        <f t="shared" si="1"/>
        <v>Grupo A</v>
      </c>
      <c r="AP10" s="367" t="str">
        <f>IF($D$19="","",$D$19)</f>
        <v/>
      </c>
      <c r="AQ10" s="368" t="str">
        <f t="shared" si="0"/>
        <v>Grupo A</v>
      </c>
      <c r="AR10" s="368" t="str">
        <f t="shared" si="0"/>
        <v>Grupo A</v>
      </c>
      <c r="AS10" s="369" t="str">
        <f t="shared" si="0"/>
        <v>Grupo A</v>
      </c>
      <c r="AT10" s="183" t="str">
        <f>IF(COUNT($F$18:$F$19)&lt;2,"",IF($F$18&lt;$F$19,"V",IF($F$18&gt;$F$19,"D","Empate??")))</f>
        <v/>
      </c>
      <c r="AU10" s="184" t="str">
        <f>IF(COUNT($F$18:$F$19)&lt;2,"",$F$19)</f>
        <v/>
      </c>
      <c r="AV10" s="185" t="str">
        <f>IF(COUNT($F$18:$F$19)&lt;2,"",$F$18)</f>
        <v/>
      </c>
      <c r="AW10" s="186" t="str">
        <f t="shared" si="3"/>
        <v/>
      </c>
      <c r="AX10" s="185" t="str">
        <f>IF(COUNT($F$18:$F$19)&lt;2,"",SUM($G$19:$I$19))</f>
        <v/>
      </c>
      <c r="AY10" s="187" t="str">
        <f>IF(COUNT($F$18:$F$19)&lt;2,"",SUM($G$18:$I$18))</f>
        <v/>
      </c>
      <c r="AZ10" s="188" t="str">
        <f t="shared" si="2"/>
        <v/>
      </c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</row>
    <row r="11" spans="2:72" ht="17.25" customHeight="1">
      <c r="B11" s="126"/>
      <c r="C11" s="435" t="s">
        <v>16</v>
      </c>
      <c r="D11" s="436"/>
      <c r="E11" s="436"/>
      <c r="F11" s="436"/>
      <c r="G11" s="436"/>
      <c r="H11" s="436"/>
      <c r="I11" s="437"/>
      <c r="J11" s="435" t="s">
        <v>16</v>
      </c>
      <c r="K11" s="436"/>
      <c r="L11" s="436"/>
      <c r="M11" s="436"/>
      <c r="N11" s="436"/>
      <c r="O11" s="436"/>
      <c r="P11" s="437"/>
      <c r="Q11" s="435" t="s">
        <v>16</v>
      </c>
      <c r="R11" s="436"/>
      <c r="S11" s="436"/>
      <c r="T11" s="436"/>
      <c r="U11" s="436"/>
      <c r="V11" s="436"/>
      <c r="W11" s="437"/>
      <c r="X11" s="435" t="s">
        <v>16</v>
      </c>
      <c r="Y11" s="436"/>
      <c r="Z11" s="436"/>
      <c r="AA11" s="436"/>
      <c r="AB11" s="436"/>
      <c r="AC11" s="436"/>
      <c r="AD11" s="437"/>
      <c r="AE11" s="113"/>
      <c r="AG11" s="109">
        <f>$C$18</f>
        <v>2</v>
      </c>
      <c r="AH11" s="161"/>
      <c r="AI11" s="109">
        <f>$C$26</f>
        <v>18</v>
      </c>
      <c r="AJ11" s="161"/>
      <c r="AK11" s="159">
        <f>$O$52</f>
        <v>33</v>
      </c>
      <c r="AL11" s="160"/>
      <c r="AN11" s="189">
        <f>IF($C20="","",$C20)</f>
        <v>9</v>
      </c>
      <c r="AO11" s="172" t="str">
        <f t="shared" si="1"/>
        <v>Grupo A</v>
      </c>
      <c r="AP11" s="364" t="str">
        <f>IF($D$20="","",$D$20)</f>
        <v/>
      </c>
      <c r="AQ11" s="365" t="str">
        <f t="shared" si="0"/>
        <v>Grupo A</v>
      </c>
      <c r="AR11" s="365" t="str">
        <f t="shared" si="0"/>
        <v>Grupo A</v>
      </c>
      <c r="AS11" s="366" t="str">
        <f t="shared" si="0"/>
        <v>Grupo A</v>
      </c>
      <c r="AT11" s="190" t="str">
        <f>IF(COUNT($F$20:$F$21)&lt;2,"",IF($F$20&gt;$F$21,"V",IF($F$20&lt;$F$21,"D","Empate??")))</f>
        <v/>
      </c>
      <c r="AU11" s="191" t="str">
        <f>IF(COUNT($F$20:$F$21)&lt;2,"",$F$20)</f>
        <v/>
      </c>
      <c r="AV11" s="192" t="str">
        <f>IF(COUNT($F$20:$F$21)&lt;2,"",$F$21)</f>
        <v/>
      </c>
      <c r="AW11" s="193" t="str">
        <f t="shared" si="3"/>
        <v/>
      </c>
      <c r="AX11" s="192" t="str">
        <f>IF(COUNT($F$20:$F$21)&lt;2,"",SUM($G$20:$I$20))</f>
        <v/>
      </c>
      <c r="AY11" s="194" t="str">
        <f>IF(COUNT($F$20:$F$21)&lt;2,"",SUM($G$21:$I$21))</f>
        <v/>
      </c>
      <c r="AZ11" s="195" t="str">
        <f t="shared" si="2"/>
        <v/>
      </c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</row>
    <row r="12" spans="2:72" ht="15" customHeight="1">
      <c r="B12" s="126"/>
      <c r="C12" s="13" t="s">
        <v>12</v>
      </c>
      <c r="D12" s="433" t="str">
        <f>IF(COUNTIF(H$7:H$10,"")&gt;2,"",IF(COUNTIF(H$7:H$10,"")=2,(IF(LARGE(H$7:H$10,1)=H$7,D$7,IF(LARGE(H$7:H$10,1)=H$8,D$8,IF(LARGE(H$7:H$10,1)=H$9,D$9,IF(LARGE(H$7:H$10,1)=H$10,D$10))))),IF(COUNTIF(H$7:H$10,"")=1,(IF(AND(LARGE(H$7:H$10,1)=LARGE(H$7:H$10,2),LARGE(H$7:H$10,2)=LARGE(H$7:H$10,3)),"empate entre 1º, 2º e 3º",IF(LARGE(H$7:H$10,1)=H$7,D$7,IF(LARGE(H$7:H$10,1)=H$8,D$8,IF(LARGE(H$7:H$10,1)=H$9,D$9,IF(LARGE(H$7:H$10,1)=H$10,D$10)))))),IF(COUNTIF(H$7:H$10,2)=2,"empate entre 1º e 2º",IF(COUNTIF(H$7:H$10,2)=3,"empate entre 1º, 2º e 3º",IF(LARGE(H$7:H$10,1)=H$7,D$7,IF(LARGE(H$7:H$10,1)=H$8,D$8,IF(LARGE(H$7:H$10,1)=H$9,D$9,IF(LARGE(H$7:H$10,1)=H$10,D$10)))))))))</f>
        <v/>
      </c>
      <c r="E12" s="433"/>
      <c r="F12" s="433"/>
      <c r="G12" s="433"/>
      <c r="H12" s="433"/>
      <c r="I12" s="14"/>
      <c r="J12" s="13" t="s">
        <v>12</v>
      </c>
      <c r="K12" s="433" t="str">
        <f>IF(COUNTIF(O$7:O$10,"")&gt;2,"",IF(COUNTIF(O$7:O$10,"")=2,(IF(LARGE(O$7:O$10,1)=O$7,K$7,IF(LARGE(O$7:O$10,1)=O$8,K$8,IF(LARGE(O$7:O$10,1)=O$9,K$9,IF(LARGE(O$7:O$10,1)=O$10,K$10))))),IF(COUNTIF(O$7:O$10,"")=1,(IF(AND(LARGE(O$7:O$10,1)=LARGE(O$7:O$10,2),LARGE(O$7:O$10,2)=LARGE(O$7:O$10,3)),"empate entre 1º, 2º e 3º",IF(LARGE(O$7:O$10,1)=O$7,K$7,IF(LARGE(O$7:O$10,1)=O$8,K$8,IF(LARGE(O$7:O$10,1)=O$9,K$9,IF(LARGE(O$7:O$10,1)=O$10,K$10)))))),IF(COUNTIF(O$7:O$10,2)=2,"empate entre 1º e 2º",IF(COUNTIF(O$7:O$10,2)=3,"empate entre 1º, 2º e 3º",IF(LARGE(O$7:O$10,1)=O$7,K$7,IF(LARGE(O$7:O$10,1)=O$8,K$8,IF(LARGE(O$7:O$10,1)=O$9,K$9,IF(LARGE(O$7:O$10,1)=O$10,K$10)))))))))</f>
        <v/>
      </c>
      <c r="L12" s="433"/>
      <c r="M12" s="433"/>
      <c r="N12" s="433"/>
      <c r="O12" s="433"/>
      <c r="P12" s="14"/>
      <c r="Q12" s="13" t="s">
        <v>12</v>
      </c>
      <c r="R12" s="433" t="str">
        <f>IF(COUNTIF(V$7:V$10,"")&gt;2,"",IF(COUNTIF(V$7:V$10,"")=2,(IF(LARGE(V$7:V$10,1)=V$7,R$7,IF(LARGE(V$7:V$10,1)=V$8,R$8,IF(LARGE(V$7:V$10,1)=V$9,R$9,IF(LARGE(V$7:V$10,1)=V$10,R$10))))),IF(COUNTIF(V$7:V$10,"")=1,(IF(AND(LARGE(V$7:V$10,1)=LARGE(V$7:V$10,2),LARGE(V$7:V$10,2)=LARGE(V$7:V$10,3)),"empate entre 1º, 2º e 3º",IF(LARGE(V$7:V$10,1)=V$7,R$7,IF(LARGE(V$7:V$10,1)=V$8,R$8,IF(LARGE(V$7:V$10,1)=V$9,R$9,IF(LARGE(V$7:V$10,1)=V$10,R$10)))))),IF(COUNTIF(V$7:V$10,2)=2,"empate entre 1º e 2º",IF(COUNTIF(V$7:V$10,2)=3,"empate entre 1º, 2º e 3º",IF(LARGE(V$7:V$10,1)=V$7,R$7,IF(LARGE(V$7:V$10,1)=V$8,R$8,IF(LARGE(V$7:V$10,1)=V$9,R$9,IF(LARGE(V$7:V$10,1)=V$10,R$10)))))))))</f>
        <v/>
      </c>
      <c r="S12" s="433"/>
      <c r="T12" s="433"/>
      <c r="U12" s="433"/>
      <c r="V12" s="433"/>
      <c r="W12" s="14"/>
      <c r="X12" s="13" t="s">
        <v>12</v>
      </c>
      <c r="Y12" s="433" t="str">
        <f>IF(COUNTIF(AC$7:AC$10,"")&gt;2,"",IF(COUNTIF(AC$7:AC$10,"")=2,(IF(LARGE(AC$7:AC$10,1)=AC$7,Y$7,IF(LARGE(AC$7:AC$10,1)=AC$8,Y$8,IF(LARGE(AC$7:AC$10,1)=AC$9,Y$9,IF(LARGE(AC$7:AC$10,1)=AC$10,Y$10))))),IF(COUNTIF(AC$7:AC$10,"")=1,(IF(AND(LARGE(AC$7:AC$10,1)=LARGE(AC$7:AC$10,2),LARGE(AC$7:AC$10,2)=LARGE(AC$7:AC$10,3)),"empate entre 1º, 2º e 3º",IF(LARGE(AC$7:AC$10,1)=AC$7,Y$7,IF(LARGE(AC$7:AC$10,1)=AC$8,Y$8,IF(LARGE(AC$7:AC$10,1)=AC$9,Y$9,IF(LARGE(AC$7:AC$10,1)=AC$10,Y$10)))))),IF(COUNTIF(AC$7:AC$10,2)=2,"empate entre 1º e 2º",IF(COUNTIF(AC$7:AC$10,2)=3,"empate entre 1º, 2º e 3º",IF(LARGE(AC$7:AC$10,1)=AC$7,Y$7,IF(LARGE(AC$7:AC$10,1)=AC$8,Y$8,IF(LARGE(AC$7:AC$10,1)=AC$9,Y$9,IF(LARGE(AC$7:AC$10,1)=AC$10,Y$10)))))))))</f>
        <v/>
      </c>
      <c r="Z12" s="433"/>
      <c r="AA12" s="433"/>
      <c r="AB12" s="433"/>
      <c r="AC12" s="433"/>
      <c r="AD12" s="14"/>
      <c r="AE12" s="113"/>
      <c r="AG12" s="109">
        <f>$J$16</f>
        <v>3</v>
      </c>
      <c r="AH12" s="161"/>
      <c r="AI12" s="109">
        <f>$J$24</f>
        <v>19</v>
      </c>
      <c r="AJ12" s="161"/>
      <c r="AK12" s="109">
        <f>$O$60</f>
        <v>34</v>
      </c>
      <c r="AL12" s="161"/>
      <c r="AN12" s="182">
        <f>IF($C20="","",$C20)</f>
        <v>9</v>
      </c>
      <c r="AO12" s="171" t="str">
        <f t="shared" si="1"/>
        <v>Grupo A</v>
      </c>
      <c r="AP12" s="367" t="str">
        <f>IF($D$21="","",$D$21)</f>
        <v/>
      </c>
      <c r="AQ12" s="368" t="str">
        <f t="shared" si="0"/>
        <v>Grupo A</v>
      </c>
      <c r="AR12" s="368" t="str">
        <f t="shared" si="0"/>
        <v>Grupo A</v>
      </c>
      <c r="AS12" s="369" t="str">
        <f t="shared" si="0"/>
        <v>Grupo A</v>
      </c>
      <c r="AT12" s="183" t="str">
        <f>IF(COUNT($F$20:$F$21)&lt;2,"",IF($F$20&lt;$F$21,"V",IF($F$20&gt;$F$21,"D","Empate??")))</f>
        <v/>
      </c>
      <c r="AU12" s="184" t="str">
        <f>IF(COUNT($F$20:$F$21)&lt;2,"",$F$21)</f>
        <v/>
      </c>
      <c r="AV12" s="185" t="str">
        <f>IF(COUNT($F$20:$F$21)&lt;2,"",$F$20)</f>
        <v/>
      </c>
      <c r="AW12" s="186" t="str">
        <f t="shared" si="3"/>
        <v/>
      </c>
      <c r="AX12" s="185" t="str">
        <f>IF(COUNT($F$20:$F$21)&lt;2,"",SUM($G$21:$I$21))</f>
        <v/>
      </c>
      <c r="AY12" s="187" t="str">
        <f>IF(COUNT($F$20:$F$21)&lt;2,"",SUM($G$20:$I$20))</f>
        <v/>
      </c>
      <c r="AZ12" s="188" t="str">
        <f t="shared" si="2"/>
        <v/>
      </c>
      <c r="BB12" s="240"/>
      <c r="BC12" s="240"/>
    </row>
    <row r="13" spans="2:72" ht="15" customHeight="1">
      <c r="B13" s="126"/>
      <c r="C13" s="13" t="s">
        <v>13</v>
      </c>
      <c r="D13" s="433" t="str">
        <f>IF(COUNTIF(H$7:H$10,"")&gt;2,"",IF(COUNTIF(H$7:H$10,"")=2,(IF(LARGE(H$7:H$10,2)=H$7,D$7,IF(LARGE(H$7:H$10,2)=H$8,D$8,IF(LARGE(H$7:H$10,2)=H$9,D$9,IF(LARGE(H$7:H$10,2)=H$10,D$10))))),IF(COUNTIF(H$7:H$10,"")=1,(IF(AND(LARGE(H$7:H$10,1)=LARGE(H$7:H$10,2),LARGE(H$7:H$10,2)=LARGE(H$7:H$10,3)),"empate entre 1º, 2º e 3º",IF(LARGE(H$7:H$10,2)=H$7,D$7,IF(LARGE(H$7:H$10,2)=H$8,D$8,IF(LARGE(H$7:H$10,2)=H$9,D$9,IF(LARGE(H$7:H$10,2)=H$10,D$10)))))),IF(COUNTIF(H$7:H$10,2)=2,"empate entre 1º e 2º",IF(COUNTIF(H$7:H$10,2)=3,"empate entre 1º, 2º e 3º",IF(COUNTIF(H$7:H$10,1)=3,"empate entre 2º, 3º e 4º",IF(LARGE(H$7:H$10,2)=H$7,D$7,IF(LARGE(H$7:H$10,2)=H$8,D$8,IF(LARGE(H$7:H$10,2)=H$9,D$9,IF(LARGE(H$7:H$10,2)=H$10,D$10))))))))))</f>
        <v/>
      </c>
      <c r="E13" s="433"/>
      <c r="F13" s="433"/>
      <c r="G13" s="433"/>
      <c r="H13" s="433"/>
      <c r="I13" s="14"/>
      <c r="J13" s="13" t="s">
        <v>13</v>
      </c>
      <c r="K13" s="433" t="str">
        <f>IF(COUNTIF(O$7:O$10,"")&gt;2,"",IF(COUNTIF(O$7:O$10,"")=2,(IF(LARGE(O$7:O$10,2)=O$7,K$7,IF(LARGE(O$7:O$10,2)=O$8,K$8,IF(LARGE(O$7:O$10,2)=O$9,K$9,IF(LARGE(O$7:O$10,2)=O$10,K$10))))),IF(COUNTIF(O$7:O$10,"")=1,(IF(AND(LARGE(O$7:O$10,1)=LARGE(O$7:O$10,2),LARGE(O$7:O$10,2)=LARGE(O$7:O$10,3)),"empate entre 1º, 2º e 3º",IF(LARGE(O$7:O$10,2)=O$7,K$7,IF(LARGE(O$7:O$10,2)=O$8,K$8,IF(LARGE(O$7:O$10,2)=O$9,K$9,IF(LARGE(O$7:O$10,2)=O$10,K$10)))))),IF(COUNTIF(O$7:O$10,2)=2,"empate entre 1º e 2º",IF(COUNTIF(O$7:O$10,2)=3,"empate entre 1º, 2º e 3º",IF(COUNTIF(O$7:O$10,1)=3,"empate entre 2º, 3º e 4º",IF(LARGE(O$7:O$10,2)=O$7,K$7,IF(LARGE(O$7:O$10,2)=O$8,K$8,IF(LARGE(O$7:O$10,2)=O$9,K$9,IF(LARGE(O$7:O$10,2)=O$10,K$10))))))))))</f>
        <v/>
      </c>
      <c r="L13" s="433"/>
      <c r="M13" s="433"/>
      <c r="N13" s="433"/>
      <c r="O13" s="433"/>
      <c r="P13" s="14"/>
      <c r="Q13" s="13" t="s">
        <v>13</v>
      </c>
      <c r="R13" s="433" t="str">
        <f>IF(COUNTIF(V$7:V$10,"")&gt;2,"",IF(COUNTIF(V$7:V$10,"")=2,(IF(LARGE(V$7:V$10,2)=V$7,R$7,IF(LARGE(V$7:V$10,2)=V$8,R$8,IF(LARGE(V$7:V$10,2)=V$9,R$9,IF(LARGE(V$7:V$10,2)=V$10,R$10))))),IF(COUNTIF(V$7:V$10,"")=1,(IF(AND(LARGE(V$7:V$10,1)=LARGE(V$7:V$10,2),LARGE(V$7:V$10,2)=LARGE(V$7:V$10,3)),"empate entre 1º, 2º e 3º",IF(LARGE(V$7:V$10,2)=V$7,R$7,IF(LARGE(V$7:V$10,2)=V$8,R$8,IF(LARGE(V$7:V$10,2)=V$9,R$9,IF(LARGE(V$7:V$10,2)=V$10,R$10)))))),IF(COUNTIF(V$7:V$10,2)=2,"empate entre 1º e 2º",IF(COUNTIF(V$7:V$10,2)=3,"empate entre 1º, 2º e 3º",IF(COUNTIF(V$7:V$10,1)=3,"empate entre 2º, 3º e 4º",IF(LARGE(V$7:V$10,2)=V$7,R$7,IF(LARGE(V$7:V$10,2)=V$8,R$8,IF(LARGE(V$7:V$10,2)=V$9,R$9,IF(LARGE(V$7:V$10,2)=V$10,R$10))))))))))</f>
        <v/>
      </c>
      <c r="S13" s="433"/>
      <c r="T13" s="433"/>
      <c r="U13" s="433"/>
      <c r="V13" s="433"/>
      <c r="W13" s="14"/>
      <c r="X13" s="13" t="s">
        <v>13</v>
      </c>
      <c r="Y13" s="433" t="str">
        <f>IF(COUNTIF(AC$7:AC$10,"")&gt;2,"",IF(COUNTIF(AC$7:AC$10,"")=2,(IF(LARGE(AC$7:AC$10,2)=AC$7,Y$7,IF(LARGE(AC$7:AC$10,2)=AC$8,Y$8,IF(LARGE(AC$7:AC$10,2)=AC$9,Y$9,IF(LARGE(AC$7:AC$10,2)=AC$10,Y$10))))),IF(COUNTIF(AC$7:AC$10,"")=1,(IF(AND(LARGE(AC$7:AC$10,1)=LARGE(AC$7:AC$10,2),LARGE(AC$7:AC$10,2)=LARGE(AC$7:AC$10,3)),"empate entre 1º, 2º e 3º",IF(LARGE(AC$7:AC$10,2)=AC$7,Y$7,IF(LARGE(AC$7:AC$10,2)=AC$8,Y$8,IF(LARGE(AC$7:AC$10,2)=AC$9,Y$9,IF(LARGE(AC$7:AC$10,2)=AC$10,Y$10)))))),IF(COUNTIF(AC$7:AC$10,2)=2,"empate entre 1º e 2º",IF(COUNTIF(AC$7:AC$10,2)=3,"empate entre 1º, 2º e 3º",IF(COUNTIF(AC$7:AC$10,1)=3,"empate entre 2º, 3º e 4º",IF(LARGE(AC$7:AC$10,2)=AC$7,Y$7,IF(LARGE(AC$7:AC$10,2)=AC$8,Y$8,IF(LARGE(AC$7:AC$10,2)=AC$9,Y$9,IF(LARGE(AC$7:AC$10,2)=AC$10,Y$10))))))))))</f>
        <v/>
      </c>
      <c r="Z13" s="433"/>
      <c r="AA13" s="433"/>
      <c r="AB13" s="433"/>
      <c r="AC13" s="433"/>
      <c r="AD13" s="14"/>
      <c r="AE13" s="113"/>
      <c r="AG13" s="109">
        <f>$J$18</f>
        <v>4</v>
      </c>
      <c r="AH13" s="161"/>
      <c r="AI13" s="109">
        <f>$J$26</f>
        <v>20</v>
      </c>
      <c r="AJ13" s="161"/>
      <c r="AK13" s="109">
        <f>$V$56</f>
        <v>35</v>
      </c>
      <c r="AL13" s="161"/>
      <c r="AN13" s="189">
        <f>IF($C22="","",$C22)</f>
        <v>10</v>
      </c>
      <c r="AO13" s="172" t="str">
        <f t="shared" si="1"/>
        <v>Grupo A</v>
      </c>
      <c r="AP13" s="364" t="str">
        <f>IF($D$22="","",$D$22)</f>
        <v>A Carvalho/A Lisboa (Lisboa)</v>
      </c>
      <c r="AQ13" s="365" t="str">
        <f t="shared" si="0"/>
        <v>Grupo A</v>
      </c>
      <c r="AR13" s="365" t="str">
        <f t="shared" si="0"/>
        <v>Grupo A</v>
      </c>
      <c r="AS13" s="366" t="str">
        <f t="shared" si="0"/>
        <v>Grupo A</v>
      </c>
      <c r="AT13" s="190" t="str">
        <f>IF(COUNT($F$22:$F$23)&lt;2,"",IF($F$22&gt;$F$23,"V",IF($F$22&lt;$F$23,"D","Empate??")))</f>
        <v/>
      </c>
      <c r="AU13" s="191" t="str">
        <f>IF(COUNT($F$22:$F$23)&lt;2,"",$F$22)</f>
        <v/>
      </c>
      <c r="AV13" s="192" t="str">
        <f>IF(COUNT($F$22:$F$23)&lt;2,"",$F$23)</f>
        <v/>
      </c>
      <c r="AW13" s="193" t="str">
        <f t="shared" si="3"/>
        <v/>
      </c>
      <c r="AX13" s="192" t="str">
        <f>IF(COUNT($F$22:$F$23)&lt;2,"",SUM($G$22:$I$22))</f>
        <v/>
      </c>
      <c r="AY13" s="194" t="str">
        <f>IF(COUNT($F$22:$F$23)&lt;2,"",SUM($G$23:$I$23))</f>
        <v/>
      </c>
      <c r="AZ13" s="195" t="str">
        <f t="shared" si="2"/>
        <v/>
      </c>
    </row>
    <row r="14" spans="2:72" ht="15" customHeight="1" thickBot="1">
      <c r="B14" s="126"/>
      <c r="C14" s="6" t="s">
        <v>14</v>
      </c>
      <c r="D14" s="434" t="str">
        <f>IF(COUNTIF(H$7:H$10,"")&gt;=2,"",IF(COUNTIF(H$7:H$10,"")=1,(IF(LARGE(H$7:H$10,3)=1,"empate entre 1º, 2º e 3º",IF(LARGE(H$7:H$10,3)=H$7,D$7,IF(LARGE(H$7:H$10,3)=H$8,D$8,IF(LARGE(H$7:H$10,3)=H$9,D$9,IF(LARGE(H$7:H$10,3)=H$10,D$10)))))),IF(COUNTIF(H$7:H$10,2)=3,"empate entre 1º, 2º e 3º",IF(COUNTIF(H$7:H$10,1)=3,"empate entre 2º, 3º e 4º",IF(COUNTIF(H$7:H$10,1)=2,"empate entre 3º e 4º",IF(LARGE(H$7:H$10,3)=H$7,D$7,IF(LARGE(H$7:H$10,3)=H$8,D$8,IF(LARGE(H$7:H$10,3)=H$9,D$9,IF(LARGE(H$7:H$10,3)=H$10,D$10)))))))))</f>
        <v/>
      </c>
      <c r="E14" s="434"/>
      <c r="F14" s="434"/>
      <c r="G14" s="434"/>
      <c r="H14" s="434"/>
      <c r="I14" s="12"/>
      <c r="J14" s="15" t="s">
        <v>14</v>
      </c>
      <c r="K14" s="434" t="str">
        <f>IF(COUNTIF(O$7:O$10,"")&gt;=2,"",IF(COUNTIF(O$7:O$10,"")=1,(IF(LARGE(O$7:O$10,3)=1,"empate entre 1º, 2º e 3º",IF(LARGE(O$7:O$10,3)=O$7,K$7,IF(LARGE(O$7:O$10,3)=O$8,K$8,IF(LARGE(O$7:O$10,3)=O$9,K$9,IF(LARGE(O$7:O$10,3)=O$10,K$10)))))),IF(COUNTIF(O$7:O$10,2)=3,"empate entre 1º, 2º e 3º",IF(COUNTIF(O$7:O$10,1)=3,"empate entre 2º, 3º e 4º",IF(COUNTIF(O$7:O$10,1)=2,"empate entre 3º e 4º",IF(LARGE(O$7:O$10,3)=O$7,K$7,IF(LARGE(O$7:O$10,3)=O$8,K$8,IF(LARGE(O$7:O$10,3)=O$9,K$9,IF(LARGE(O$7:O$10,3)=O$10,K$10)))))))))</f>
        <v/>
      </c>
      <c r="L14" s="434"/>
      <c r="M14" s="434"/>
      <c r="N14" s="434"/>
      <c r="O14" s="434"/>
      <c r="P14" s="16"/>
      <c r="Q14" s="6" t="s">
        <v>14</v>
      </c>
      <c r="R14" s="434" t="str">
        <f>IF(COUNTIF(V$7:V$10,"")&gt;=2,"",IF(COUNTIF(V$7:V$10,"")=1,(IF(LARGE(V$7:V$10,3)=1,"empate entre 1º, 2º e 3º",IF(LARGE(V$7:V$10,3)=V$7,R$7,IF(LARGE(V$7:V$10,3)=V$8,R$8,IF(LARGE(V$7:V$10,3)=V$9,R$9,IF(LARGE(V$7:V$10,3)=V$10,R$10)))))),IF(COUNTIF(V$7:V$10,2)=3,"empate entre 1º, 2º e 3º",IF(COUNTIF(V$7:V$10,1)=3,"empate entre 2º, 3º e 4º",IF(COUNTIF(V$7:V$10,1)=2,"empate entre 3º e 4º",IF(LARGE(V$7:V$10,3)=V$7,R$7,IF(LARGE(V$7:V$10,3)=V$8,R$8,IF(LARGE(V$7:V$10,3)=V$9,R$9,IF(LARGE(V$7:V$10,3)=V$10,R$10)))))))))</f>
        <v/>
      </c>
      <c r="S14" s="434"/>
      <c r="T14" s="434"/>
      <c r="U14" s="434"/>
      <c r="V14" s="434"/>
      <c r="W14" s="12"/>
      <c r="X14" s="6" t="s">
        <v>14</v>
      </c>
      <c r="Y14" s="434" t="str">
        <f>IF(COUNTIF(AC$7:AC$10,"")&gt;=2,"",IF(COUNTIF(AC$7:AC$10,"")=1,(IF(LARGE(AC$7:AC$10,3)=1,"empate entre 1º, 2º e 3º",IF(LARGE(AC$7:AC$10,3)=AC$7,Y$7,IF(LARGE(AC$7:AC$10,3)=AC$8,Y$8,IF(LARGE(AC$7:AC$10,3)=AC$9,Y$9,IF(LARGE(AC$7:AC$10,3)=AC$10,Y$10)))))),IF(COUNTIF(AC$7:AC$10,2)=3,"empate entre 1º, 2º e 3º",IF(COUNTIF(AC$7:AC$10,1)=3,"empate entre 2º, 3º e 4º",IF(COUNTIF(AC$7:AC$10,1)=2,"empate entre 3º e 4º",IF(LARGE(AC$7:AC$10,3)=AC$7,Y$7,IF(LARGE(AC$7:AC$10,3)=AC$8,Y$8,IF(LARGE(AC$7:AC$10,3)=AC$9,Y$9,IF(LARGE(AC$7:AC$10,3)=AC$10,Y$10)))))))))</f>
        <v/>
      </c>
      <c r="Z14" s="434"/>
      <c r="AA14" s="434"/>
      <c r="AB14" s="434"/>
      <c r="AC14" s="434"/>
      <c r="AD14" s="12"/>
      <c r="AE14" s="113"/>
      <c r="AG14" s="109">
        <f>$Q$16</f>
        <v>5</v>
      </c>
      <c r="AH14" s="161"/>
      <c r="AI14" s="109">
        <f>$Q$24</f>
        <v>21</v>
      </c>
      <c r="AJ14" s="161"/>
      <c r="AK14" s="130">
        <f>$W$56</f>
        <v>36</v>
      </c>
      <c r="AL14" s="163"/>
      <c r="AN14" s="182">
        <f>IF($C22="","",$C22)</f>
        <v>10</v>
      </c>
      <c r="AO14" s="171" t="str">
        <f t="shared" si="1"/>
        <v>Grupo A</v>
      </c>
      <c r="AP14" s="367" t="str">
        <f>IF($D$23="","",$D$23)</f>
        <v>G Almeida/H Aston (Norte)</v>
      </c>
      <c r="AQ14" s="368" t="str">
        <f t="shared" si="0"/>
        <v>Grupo A</v>
      </c>
      <c r="AR14" s="368" t="str">
        <f t="shared" si="0"/>
        <v>Grupo A</v>
      </c>
      <c r="AS14" s="369" t="str">
        <f t="shared" si="0"/>
        <v>Grupo A</v>
      </c>
      <c r="AT14" s="183" t="str">
        <f>IF(COUNT($F$22:$F$23)&lt;2,"",IF($F$22&lt;$F$23,"V",IF($F$22&gt;$F$23,"D","Empate??")))</f>
        <v/>
      </c>
      <c r="AU14" s="184" t="str">
        <f>IF(COUNT($F$22:$F$23)&lt;2,"",$F$23)</f>
        <v/>
      </c>
      <c r="AV14" s="185" t="str">
        <f>IF(COUNT($F$22:$F$23)&lt;2,"",$F$22)</f>
        <v/>
      </c>
      <c r="AW14" s="186" t="str">
        <f t="shared" si="3"/>
        <v/>
      </c>
      <c r="AX14" s="185" t="str">
        <f>IF(COUNT($F$22:$F$23)&lt;2,"",SUM($G$23:$I$23))</f>
        <v/>
      </c>
      <c r="AY14" s="187" t="str">
        <f>IF(COUNT($F$22:$F$23)&lt;2,"",SUM($G$22:$I$22))</f>
        <v/>
      </c>
      <c r="AZ14" s="188" t="str">
        <f t="shared" si="2"/>
        <v/>
      </c>
    </row>
    <row r="15" spans="2:72" ht="19.5" customHeight="1" thickBot="1">
      <c r="B15" s="126"/>
      <c r="C15" s="17" t="s">
        <v>15</v>
      </c>
      <c r="D15" s="430" t="str">
        <f>IF(COUNTIF(H$7:H$10,"")&gt;=1,"",IF(COUNTIF(H$7:H$10,1)=3,"empate entre 2º, 3º e 4º",IF(COUNTIF(H$7:H$10,1)=2,"empate entre 3º e 4º",IF(LARGE(H$7:H$10,4)=H$7,D$7,IF(LARGE(H$7:H$10,4)=H$8,D$8,IF(LARGE(H$7:H$10,4)=H$9,D$9,IF(LARGE(H$7:H$10,4)=H$10,D$10)))))))</f>
        <v/>
      </c>
      <c r="E15" s="430"/>
      <c r="F15" s="430"/>
      <c r="G15" s="430"/>
      <c r="H15" s="430"/>
      <c r="I15" s="18"/>
      <c r="J15" s="19" t="s">
        <v>15</v>
      </c>
      <c r="K15" s="430" t="str">
        <f>IF(COUNTIF(O$7:O$10,"")&gt;=1,"",IF(COUNTIF(O$7:O$10,1)=3,"empate entre 2º, 3º e 4º",IF(COUNTIF(O$7:O$10,1)=2,"empate entre 3º e 4º",IF(LARGE(O$7:O$10,4)=O$7,K$7,IF(LARGE(O$7:O$10,4)=O$8,K$8,IF(LARGE(O$7:O$10,4)=O$9,K$9,IF(LARGE(O$7:O$10,4)=O$10,K$10)))))))</f>
        <v/>
      </c>
      <c r="L15" s="430"/>
      <c r="M15" s="430"/>
      <c r="N15" s="430"/>
      <c r="O15" s="430"/>
      <c r="P15" s="20"/>
      <c r="Q15" s="17" t="s">
        <v>15</v>
      </c>
      <c r="R15" s="430" t="str">
        <f>IF(COUNTIF(V$7:V$10,"")&gt;=1,"",IF(COUNTIF(V$7:V$10,1)=3,"empate entre 2º, 3º e 4º",IF(COUNTIF(V$7:V$10,1)=2,"empate entre 3º e 4º",IF(LARGE(V$7:V$10,4)=V$7,R$7,IF(LARGE(V$7:V$10,4)=V$8,R$8,IF(LARGE(V$7:V$10,4)=V$9,R$9,IF(LARGE(V$7:V$10,4)=V$10,R$10)))))))</f>
        <v/>
      </c>
      <c r="S15" s="430"/>
      <c r="T15" s="430"/>
      <c r="U15" s="430"/>
      <c r="V15" s="430"/>
      <c r="W15" s="18"/>
      <c r="X15" s="17" t="s">
        <v>15</v>
      </c>
      <c r="Y15" s="430" t="str">
        <f>IF(COUNTIF(AC$7:AC$10,"")&gt;=1,"",IF(COUNTIF(AC$7:AC$10,1)=3,"empate entre 2º, 3º e 4º",IF(COUNTIF(AC$7:AC$10,1)=2,"empate entre 3º e 4º",IF(LARGE(AC$7:AC$10,4)=AC$7,Y$7,IF(LARGE(AC$7:AC$10,4)=AC$8,Y$8,IF(LARGE(AC$7:AC$10,4)=AC$9,Y$9,IF(LARGE(AC$7:AC$10,4)=AC$10,Y$10)))))))</f>
        <v/>
      </c>
      <c r="Z15" s="430"/>
      <c r="AA15" s="430"/>
      <c r="AB15" s="430"/>
      <c r="AC15" s="430"/>
      <c r="AD15" s="18"/>
      <c r="AE15" s="113"/>
      <c r="AG15" s="109">
        <f>$Q$18</f>
        <v>6</v>
      </c>
      <c r="AH15" s="161"/>
      <c r="AI15" s="109">
        <f>$Q$26</f>
        <v>22</v>
      </c>
      <c r="AJ15" s="161"/>
      <c r="AK15" s="431" t="s">
        <v>230</v>
      </c>
      <c r="AL15" s="432"/>
      <c r="AN15" s="189">
        <f>IF($C24="","",$C24)</f>
        <v>17</v>
      </c>
      <c r="AO15" s="172" t="str">
        <f t="shared" si="1"/>
        <v>Grupo A</v>
      </c>
      <c r="AP15" s="364" t="str">
        <f>IF($D$24="","",$D$24)</f>
        <v>G Almeida/H Aston (Norte)</v>
      </c>
      <c r="AQ15" s="365" t="str">
        <f t="shared" si="0"/>
        <v>Grupo A</v>
      </c>
      <c r="AR15" s="365" t="str">
        <f t="shared" si="0"/>
        <v>Grupo A</v>
      </c>
      <c r="AS15" s="366" t="str">
        <f t="shared" si="0"/>
        <v>Grupo A</v>
      </c>
      <c r="AT15" s="190" t="str">
        <f>IF(COUNT($F$24:$F$25)&lt;2,"",IF($F$24&gt;$F$25,"V",IF($F$24&lt;$F$25,"D","Empate??")))</f>
        <v/>
      </c>
      <c r="AU15" s="191" t="str">
        <f>IF(COUNT($F$24:$F$25)&lt;2,"",$F$24)</f>
        <v/>
      </c>
      <c r="AV15" s="192" t="str">
        <f>IF(COUNT($F$24:$F$25)&lt;2,"",$F$25)</f>
        <v/>
      </c>
      <c r="AW15" s="193" t="str">
        <f t="shared" si="3"/>
        <v/>
      </c>
      <c r="AX15" s="192" t="str">
        <f>IF(COUNT($F$24:$F$25)&lt;2,"",SUM($G$24:$I$24))</f>
        <v/>
      </c>
      <c r="AY15" s="194" t="str">
        <f>IF(COUNT($F$24:$F$25)&lt;2,"",SUM($G$25:$I$25))</f>
        <v/>
      </c>
      <c r="AZ15" s="195" t="str">
        <f t="shared" si="2"/>
        <v/>
      </c>
    </row>
    <row r="16" spans="2:72" ht="15" customHeight="1">
      <c r="B16" s="126"/>
      <c r="C16" s="428">
        <v>1</v>
      </c>
      <c r="D16" s="425" t="str">
        <f>IF(D7="","",D7)</f>
        <v>A Carvalho/A Lisboa (Lisboa)</v>
      </c>
      <c r="E16" s="425"/>
      <c r="F16" s="21" t="str">
        <f>IF(COUNT(G16:I16)&lt;1,"",IF(SUM(IF(G16&gt;G17,1,0),IF(H16&gt;H17,1,0),IF(I16&gt;I17,1,0))&gt;2,"??",SUM(IF(G16&gt;G17,1,0),IF(H16&gt;H17,1,0),IF(I16&gt;I17,1,0))))</f>
        <v/>
      </c>
      <c r="G16" s="138"/>
      <c r="H16" s="139"/>
      <c r="I16" s="140"/>
      <c r="J16" s="423">
        <v>3</v>
      </c>
      <c r="K16" s="425" t="str">
        <f>IF(K7="","",K7)</f>
        <v>D Mackaaij/J Arez (Algarve)</v>
      </c>
      <c r="L16" s="425"/>
      <c r="M16" s="21" t="str">
        <f>IF(COUNT(N16:P16)&lt;1,"",IF(SUM(IF(N16&gt;N17,1,0),IF(O16&gt;O17,1,0),IF(P16&gt;P17,1,0))&gt;2,"??",SUM(IF(N16&gt;N17,1,0),IF(O16&gt;O17,1,0),IF(P16&gt;P17,1,0))))</f>
        <v/>
      </c>
      <c r="N16" s="138"/>
      <c r="O16" s="139"/>
      <c r="P16" s="140"/>
      <c r="Q16" s="423">
        <v>5</v>
      </c>
      <c r="R16" s="425" t="str">
        <f>IF(R7="","",R7)</f>
        <v>A Ferreira/P Nunes (Centro)</v>
      </c>
      <c r="S16" s="425"/>
      <c r="T16" s="21" t="str">
        <f>IF(COUNT(U16:W16)&lt;1,"",IF(SUM(IF(U16&gt;U17,1,0),IF(V16&gt;V17,1,0),IF(W16&gt;W17,1,0))&gt;2,"??",SUM(IF(U16&gt;U17,1,0),IF(V16&gt;V17,1,0),IF(W16&gt;W17,1,0))))</f>
        <v/>
      </c>
      <c r="U16" s="138"/>
      <c r="V16" s="139"/>
      <c r="W16" s="140"/>
      <c r="X16" s="423">
        <v>7</v>
      </c>
      <c r="Y16" s="425" t="str">
        <f>IF(Y7="","",Y7)</f>
        <v>F Moreira/H Ribeiro (Norte)</v>
      </c>
      <c r="Z16" s="425"/>
      <c r="AA16" s="21" t="str">
        <f>IF(COUNT(AB16:AD16)&lt;1,"",IF(SUM(IF(AB16&gt;AB17,1,0),IF(AC16&gt;AC17,1,0),IF(AD16&gt;AD17,1,0))&gt;2,"??",SUM(IF(AB16&gt;AB17,1,0),IF(AC16&gt;AC17,1,0),IF(AD16&gt;AD17,1,0))))</f>
        <v/>
      </c>
      <c r="AB16" s="138"/>
      <c r="AC16" s="139"/>
      <c r="AD16" s="140"/>
      <c r="AE16" s="426" t="s">
        <v>44</v>
      </c>
      <c r="AG16" s="109">
        <f>$X$16</f>
        <v>7</v>
      </c>
      <c r="AH16" s="161"/>
      <c r="AI16" s="109">
        <f>$X$24</f>
        <v>23</v>
      </c>
      <c r="AJ16" s="161"/>
      <c r="AK16" s="159">
        <f>$O$70</f>
        <v>37</v>
      </c>
      <c r="AL16" s="160"/>
      <c r="AN16" s="182">
        <f>IF($C24="","",$C24)</f>
        <v>17</v>
      </c>
      <c r="AO16" s="171" t="str">
        <f t="shared" si="1"/>
        <v>Grupo A</v>
      </c>
      <c r="AP16" s="367" t="str">
        <f>IF($D$25="","",$D$25)</f>
        <v/>
      </c>
      <c r="AQ16" s="368" t="str">
        <f t="shared" si="0"/>
        <v>Grupo A</v>
      </c>
      <c r="AR16" s="368" t="str">
        <f t="shared" si="0"/>
        <v>Grupo A</v>
      </c>
      <c r="AS16" s="369" t="str">
        <f t="shared" si="0"/>
        <v>Grupo A</v>
      </c>
      <c r="AT16" s="183" t="str">
        <f>IF(COUNT($F$24:$F$25)&lt;2,"",IF($F$24&lt;$F$25,"V",IF($F$24&gt;$F$25,"D","Empate??")))</f>
        <v/>
      </c>
      <c r="AU16" s="184" t="str">
        <f>IF(COUNT($F$24:$F$25)&lt;2,"",$F$25)</f>
        <v/>
      </c>
      <c r="AV16" s="185" t="str">
        <f>IF(COUNT($F$24:$F$25)&lt;2,"",$F$24)</f>
        <v/>
      </c>
      <c r="AW16" s="186" t="str">
        <f t="shared" si="3"/>
        <v/>
      </c>
      <c r="AX16" s="185" t="str">
        <f>IF(COUNT($F$24:$F$25)&lt;2,"",SUM($G$25:$I$25))</f>
        <v/>
      </c>
      <c r="AY16" s="187" t="str">
        <f>IF(COUNT($F$24:$F$25)&lt;2,"",SUM($G$24:$I$24))</f>
        <v/>
      </c>
      <c r="AZ16" s="188" t="str">
        <f t="shared" si="2"/>
        <v/>
      </c>
    </row>
    <row r="17" spans="2:52" ht="15" customHeight="1">
      <c r="B17" s="126"/>
      <c r="C17" s="429"/>
      <c r="D17" s="398" t="str">
        <f>IF(D10="","",D10)</f>
        <v/>
      </c>
      <c r="E17" s="398"/>
      <c r="F17" s="22" t="str">
        <f>IF(COUNT(G17:I17)&lt;1,"",IF(SUM(IF(G17&gt;G16,1,0),IF(H17&gt;H16,1,0),IF(I17&gt;I16,1,0))&gt;2,"??",SUM(IF(G17&gt;G16,1,0),IF(H17&gt;H16,1,0),IF(I17&gt;I16,1,0))))</f>
        <v/>
      </c>
      <c r="G17" s="141"/>
      <c r="H17" s="142"/>
      <c r="I17" s="143"/>
      <c r="J17" s="424"/>
      <c r="K17" s="398" t="str">
        <f>IF(K10="","",K10)</f>
        <v/>
      </c>
      <c r="L17" s="398"/>
      <c r="M17" s="22" t="str">
        <f>IF(COUNT(N17:P17)&lt;1,"",IF(SUM(IF(N17&gt;N16,1,0),IF(O17&gt;O16,1,0),IF(P17&gt;P16,1,0))&gt;2,"??",SUM(IF(N17&gt;N16,1,0),IF(O17&gt;O16,1,0),IF(P17&gt;P16,1,0))))</f>
        <v/>
      </c>
      <c r="N17" s="141"/>
      <c r="O17" s="142"/>
      <c r="P17" s="143"/>
      <c r="Q17" s="424"/>
      <c r="R17" s="398" t="str">
        <f>IF(R10="","",R10)</f>
        <v/>
      </c>
      <c r="S17" s="398"/>
      <c r="T17" s="22" t="str">
        <f>IF(COUNT(U17:W17)&lt;1,"",IF(SUM(IF(U17&gt;U16,1,0),IF(V17&gt;V16,1,0),IF(W17&gt;W16,1,0))&gt;2,"??",SUM(IF(U17&gt;U16,1,0),IF(V17&gt;V16,1,0),IF(W17&gt;W16,1,0))))</f>
        <v/>
      </c>
      <c r="U17" s="141"/>
      <c r="V17" s="142"/>
      <c r="W17" s="143"/>
      <c r="X17" s="424"/>
      <c r="Y17" s="398" t="str">
        <f>IF(Y10="","",Y10)</f>
        <v/>
      </c>
      <c r="Z17" s="398"/>
      <c r="AA17" s="22" t="str">
        <f>IF(COUNT(AB17:AD17)&lt;1,"",IF(SUM(IF(AB17&gt;AB16,1,0),IF(AC17&gt;AC16,1,0),IF(AD17&gt;AD16,1,0))&gt;2,"??",SUM(IF(AB17&gt;AB16,1,0),IF(AC17&gt;AC16,1,0),IF(AD17&gt;AD16,1,0))))</f>
        <v/>
      </c>
      <c r="AB17" s="141"/>
      <c r="AC17" s="142"/>
      <c r="AD17" s="143"/>
      <c r="AE17" s="396"/>
      <c r="AG17" s="109">
        <f>$X$18</f>
        <v>8</v>
      </c>
      <c r="AH17" s="161"/>
      <c r="AI17" s="109">
        <f>$X$26</f>
        <v>24</v>
      </c>
      <c r="AJ17" s="161"/>
      <c r="AK17" s="109">
        <f>$O$78</f>
        <v>38</v>
      </c>
      <c r="AL17" s="161"/>
      <c r="AN17" s="189">
        <f>IF($C26="","",$C26)</f>
        <v>18</v>
      </c>
      <c r="AO17" s="172" t="str">
        <f t="shared" si="1"/>
        <v>Grupo A</v>
      </c>
      <c r="AP17" s="364" t="str">
        <f>IF($D$26="","",$D$26)</f>
        <v/>
      </c>
      <c r="AQ17" s="365" t="str">
        <f t="shared" si="0"/>
        <v>Grupo A</v>
      </c>
      <c r="AR17" s="365" t="str">
        <f t="shared" si="0"/>
        <v>Grupo A</v>
      </c>
      <c r="AS17" s="366" t="str">
        <f t="shared" si="0"/>
        <v>Grupo A</v>
      </c>
      <c r="AT17" s="190" t="str">
        <f>IF(COUNT($F$26:$F$27)&lt;2,"",IF($F$26&gt;$F$27,"V",IF($F$26&lt;$F$27,"D","Empate??")))</f>
        <v/>
      </c>
      <c r="AU17" s="191" t="str">
        <f>IF(COUNT($F$26:$F$27)&lt;2,"",$F$26)</f>
        <v/>
      </c>
      <c r="AV17" s="192" t="str">
        <f>IF(COUNT($F$26:$F$27)&lt;2,"",$F$27)</f>
        <v/>
      </c>
      <c r="AW17" s="193" t="str">
        <f t="shared" si="3"/>
        <v/>
      </c>
      <c r="AX17" s="192" t="str">
        <f>IF(COUNT($F$26:$F$27)&lt;2,"",SUM($G$26:$I$26))</f>
        <v/>
      </c>
      <c r="AY17" s="194" t="str">
        <f>IF(COUNT($F$26:$F$27)&lt;2,"",SUM($G$27:$I$27))</f>
        <v/>
      </c>
      <c r="AZ17" s="195" t="str">
        <f t="shared" si="2"/>
        <v/>
      </c>
    </row>
    <row r="18" spans="2:52" ht="15" customHeight="1" thickBot="1">
      <c r="B18" s="126"/>
      <c r="C18" s="373">
        <v>2</v>
      </c>
      <c r="D18" s="375" t="str">
        <f>IF(D8="","",D8)</f>
        <v>G Almeida/H Aston (Norte)</v>
      </c>
      <c r="E18" s="375"/>
      <c r="F18" s="23" t="str">
        <f>IF(COUNT(G18:I18)&lt;1,"",IF(SUM(IF(G18&gt;G19,1,0),IF(H18&gt;H19,1,0),IF(I18&gt;I19,1,0))&gt;2,"??",SUM(IF(G18&gt;G19,1,0),IF(H18&gt;H19,1,0),IF(I18&gt;I19,1,0))))</f>
        <v/>
      </c>
      <c r="G18" s="144"/>
      <c r="H18" s="145"/>
      <c r="I18" s="146"/>
      <c r="J18" s="373">
        <v>4</v>
      </c>
      <c r="K18" s="375" t="str">
        <f>IF(K8="","",K8)</f>
        <v>A Grilo/D Monteiro (Lisboa)</v>
      </c>
      <c r="L18" s="375"/>
      <c r="M18" s="23" t="str">
        <f>IF(COUNT(N18:P18)&lt;1,"",IF(SUM(IF(N18&gt;N19,1,0),IF(O18&gt;O19,1,0),IF(P18&gt;P19,1,0))&gt;2,"??",SUM(IF(N18&gt;N19,1,0),IF(O18&gt;O19,1,0),IF(P18&gt;P19,1,0))))</f>
        <v/>
      </c>
      <c r="N18" s="144"/>
      <c r="O18" s="145"/>
      <c r="P18" s="146"/>
      <c r="Q18" s="373">
        <v>6</v>
      </c>
      <c r="R18" s="375" t="str">
        <f>IF(R8="","",R8)</f>
        <v>V Murteira/V Vicente (Lisboa)</v>
      </c>
      <c r="S18" s="375"/>
      <c r="T18" s="23" t="str">
        <f>IF(COUNT(U18:W18)&lt;1,"",IF(SUM(IF(U18&gt;U19,1,0),IF(V18&gt;V19,1,0),IF(W18&gt;W19,1,0))&gt;2,"??",SUM(IF(U18&gt;U19,1,0),IF(V18&gt;V19,1,0),IF(W18&gt;W19,1,0))))</f>
        <v/>
      </c>
      <c r="U18" s="144"/>
      <c r="V18" s="145"/>
      <c r="W18" s="146"/>
      <c r="X18" s="373">
        <v>8</v>
      </c>
      <c r="Y18" s="375" t="str">
        <f>IF(Y8="","",Y8)</f>
        <v>L Macrino/G Moita (Lisboa)</v>
      </c>
      <c r="Z18" s="375"/>
      <c r="AA18" s="23" t="str">
        <f>IF(COUNT(AB18:AD18)&lt;1,"",IF(SUM(IF(AB18&gt;AB19,1,0),IF(AC18&gt;AC19,1,0),IF(AD18&gt;AD19,1,0))&gt;2,"??",SUM(IF(AB18&gt;AB19,1,0),IF(AC18&gt;AC19,1,0),IF(AD18&gt;AD19,1,0))))</f>
        <v/>
      </c>
      <c r="AB18" s="144"/>
      <c r="AC18" s="145"/>
      <c r="AD18" s="146"/>
      <c r="AE18" s="396"/>
      <c r="AG18" s="131">
        <f>$C$20</f>
        <v>9</v>
      </c>
      <c r="AH18" s="162"/>
      <c r="AI18" s="131">
        <f>$H$31</f>
        <v>25</v>
      </c>
      <c r="AJ18" s="162"/>
      <c r="AK18" s="109">
        <f>$V$74</f>
        <v>39</v>
      </c>
      <c r="AL18" s="161"/>
      <c r="AN18" s="196">
        <f>IF($C26="","",$C26)</f>
        <v>18</v>
      </c>
      <c r="AO18" s="175" t="str">
        <f t="shared" si="1"/>
        <v>Grupo A</v>
      </c>
      <c r="AP18" s="358" t="str">
        <f>IF($D$27="","",$D$27)</f>
        <v>A Carvalho/A Lisboa (Lisboa)</v>
      </c>
      <c r="AQ18" s="359" t="str">
        <f t="shared" si="0"/>
        <v>Grupo A</v>
      </c>
      <c r="AR18" s="359" t="str">
        <f t="shared" si="0"/>
        <v>Grupo A</v>
      </c>
      <c r="AS18" s="360" t="str">
        <f t="shared" si="0"/>
        <v>Grupo A</v>
      </c>
      <c r="AT18" s="176" t="str">
        <f>IF(COUNT($F$26:$F$27)&lt;2,"",IF($F$26&lt;$F$27,"V",IF($F$26&gt;$F$27,"D","Empate??")))</f>
        <v/>
      </c>
      <c r="AU18" s="177" t="str">
        <f>IF(COUNT($F$26:$F$27)&lt;2,"",$F$27)</f>
        <v/>
      </c>
      <c r="AV18" s="178" t="str">
        <f>IF(COUNT($F$26:$F$27)&lt;2,"",$F$26)</f>
        <v/>
      </c>
      <c r="AW18" s="179" t="str">
        <f t="shared" si="3"/>
        <v/>
      </c>
      <c r="AX18" s="178" t="str">
        <f>IF(COUNT($F$26:$F$27)&lt;2,"",SUM($G$27:$I$27))</f>
        <v/>
      </c>
      <c r="AY18" s="180" t="str">
        <f>IF(COUNT($F$26:$F$27)&lt;2,"",SUM($G$26:$I$26))</f>
        <v/>
      </c>
      <c r="AZ18" s="181" t="str">
        <f t="shared" si="2"/>
        <v/>
      </c>
    </row>
    <row r="19" spans="2:52" ht="15" customHeight="1" thickBot="1">
      <c r="B19" s="126"/>
      <c r="C19" s="417"/>
      <c r="D19" s="416" t="str">
        <f>IF(D9="","",D9)</f>
        <v/>
      </c>
      <c r="E19" s="416"/>
      <c r="F19" s="24" t="str">
        <f>IF(COUNT(G19:I19)&lt;1,"",IF(SUM(IF(G19&gt;G18,1,0),IF(H19&gt;H18,1,0),IF(I19&gt;I18,1,0))&gt;2,"??",SUM(IF(G19&gt;G18,1,0),IF(H19&gt;H18,1,0),IF(I19&gt;I18,1,0))))</f>
        <v/>
      </c>
      <c r="G19" s="147"/>
      <c r="H19" s="148"/>
      <c r="I19" s="149"/>
      <c r="J19" s="417"/>
      <c r="K19" s="416" t="str">
        <f>IF(K9="","",K9)</f>
        <v>J Boaventura/P Gonçalves (Norte)</v>
      </c>
      <c r="L19" s="416"/>
      <c r="M19" s="24" t="str">
        <f>IF(COUNT(N19:P19)&lt;1,"",IF(SUM(IF(N19&gt;N18,1,0),IF(O19&gt;O18,1,0),IF(P19&gt;P18,1,0))&gt;2,"??",SUM(IF(N19&gt;N18,1,0),IF(O19&gt;O18,1,0),IF(P19&gt;P18,1,0))))</f>
        <v/>
      </c>
      <c r="N19" s="147"/>
      <c r="O19" s="148"/>
      <c r="P19" s="149"/>
      <c r="Q19" s="417"/>
      <c r="R19" s="416" t="str">
        <f>IF(R9="","",R9)</f>
        <v/>
      </c>
      <c r="S19" s="416"/>
      <c r="T19" s="24" t="str">
        <f>IF(COUNT(U19:W19)&lt;1,"",IF(SUM(IF(U19&gt;U18,1,0),IF(V19&gt;V18,1,0),IF(W19&gt;W18,1,0))&gt;2,"??",SUM(IF(U19&gt;U18,1,0),IF(V19&gt;V18,1,0),IF(W19&gt;W18,1,0))))</f>
        <v/>
      </c>
      <c r="U19" s="147"/>
      <c r="V19" s="148"/>
      <c r="W19" s="149"/>
      <c r="X19" s="417"/>
      <c r="Y19" s="416" t="str">
        <f>IF(Y9="","",Y9)</f>
        <v>M Pinela/S Boavista (Alentejo)</v>
      </c>
      <c r="Z19" s="416"/>
      <c r="AA19" s="24" t="str">
        <f>IF(COUNT(AB19:AD19)&lt;1,"",IF(SUM(IF(AB19&gt;AB18,1,0),IF(AC19&gt;AC18,1,0),IF(AD19&gt;AD18,1,0))&gt;2,"??",SUM(IF(AB19&gt;AB18,1,0),IF(AC19&gt;AC18,1,0),IF(AD19&gt;AD18,1,0))))</f>
        <v/>
      </c>
      <c r="AB19" s="147"/>
      <c r="AC19" s="148"/>
      <c r="AD19" s="149"/>
      <c r="AE19" s="427"/>
      <c r="AG19" s="109">
        <f>$C$22</f>
        <v>10</v>
      </c>
      <c r="AH19" s="161"/>
      <c r="AI19" s="109">
        <f>$H$35</f>
        <v>26</v>
      </c>
      <c r="AJ19" s="161"/>
      <c r="AK19" s="130">
        <f>$W$74</f>
        <v>40</v>
      </c>
      <c r="AL19" s="163"/>
      <c r="AN19" s="197">
        <f>IF($J16="","",$J16)</f>
        <v>3</v>
      </c>
      <c r="AO19" s="198" t="str">
        <f>IF($J$5="","",$J$5)</f>
        <v>Grupo B</v>
      </c>
      <c r="AP19" s="361" t="str">
        <f>IF($K$16="","",$K$16)</f>
        <v>D Mackaaij/J Arez (Algarve)</v>
      </c>
      <c r="AQ19" s="362" t="str">
        <f t="shared" si="0"/>
        <v>Grupo A</v>
      </c>
      <c r="AR19" s="362" t="str">
        <f t="shared" si="0"/>
        <v>Grupo A</v>
      </c>
      <c r="AS19" s="363" t="str">
        <f t="shared" si="0"/>
        <v>Grupo A</v>
      </c>
      <c r="AT19" s="199" t="str">
        <f>IF(COUNT($M$16:$M$17)&lt;2,"",IF($M$16&gt;$M$17,"V",IF($M$16&lt;$M$17,"D","Empate??")))</f>
        <v/>
      </c>
      <c r="AU19" s="200" t="str">
        <f>IF(COUNT($M$16:$M$17)&lt;2,"",$M$16)</f>
        <v/>
      </c>
      <c r="AV19" s="201" t="str">
        <f>IF(COUNT($M$16:$M$17)&lt;2,"",$M$17)</f>
        <v/>
      </c>
      <c r="AW19" s="202" t="str">
        <f t="shared" si="3"/>
        <v/>
      </c>
      <c r="AX19" s="201" t="str">
        <f>IF(COUNT($M$16:$M$17)&lt;2,"",SUM($N$16:$P$16))</f>
        <v/>
      </c>
      <c r="AY19" s="203" t="str">
        <f>IF(COUNT($M$16:$M$17)&lt;2,"",SUM($N$17:$P$17))</f>
        <v/>
      </c>
      <c r="AZ19" s="204" t="str">
        <f t="shared" si="2"/>
        <v/>
      </c>
    </row>
    <row r="20" spans="2:52" ht="15" customHeight="1" thickTop="1" thickBot="1">
      <c r="B20" s="126"/>
      <c r="C20" s="413">
        <v>9</v>
      </c>
      <c r="D20" s="415" t="str">
        <f>IF(D10="","",D10)</f>
        <v/>
      </c>
      <c r="E20" s="415"/>
      <c r="F20" s="25" t="str">
        <f>IF(COUNT(G20:I20)&lt;1,"",IF(SUM(IF(G20&gt;G21,1,0),IF(H20&gt;H21,1,0),IF(I20&gt;I21,1,0))&gt;2,"??",SUM(IF(G20&gt;G21,1,0),IF(H20&gt;H21,1,0),IF(I20&gt;I21,1,0))))</f>
        <v/>
      </c>
      <c r="G20" s="150"/>
      <c r="H20" s="151"/>
      <c r="I20" s="152"/>
      <c r="J20" s="413">
        <v>11</v>
      </c>
      <c r="K20" s="415" t="str">
        <f>IF(K10="","",K10)</f>
        <v/>
      </c>
      <c r="L20" s="415"/>
      <c r="M20" s="25" t="str">
        <f>IF(COUNT(N20:P20)&lt;1,"",IF(SUM(IF(N20&gt;N21,1,0),IF(O20&gt;O21,1,0),IF(P20&gt;P21,1,0))&gt;2,"??",SUM(IF(N20&gt;N21,1,0),IF(O20&gt;O21,1,0),IF(P20&gt;P21,1,0))))</f>
        <v/>
      </c>
      <c r="N20" s="150"/>
      <c r="O20" s="151"/>
      <c r="P20" s="152"/>
      <c r="Q20" s="413">
        <v>13</v>
      </c>
      <c r="R20" s="415" t="str">
        <f>IF(R10="","",R10)</f>
        <v/>
      </c>
      <c r="S20" s="415"/>
      <c r="T20" s="25" t="str">
        <f>IF(COUNT(U20:W20)&lt;1,"",IF(SUM(IF(U20&gt;U21,1,0),IF(V20&gt;V21,1,0),IF(W20&gt;W21,1,0))&gt;2,"??",SUM(IF(U20&gt;U21,1,0),IF(V20&gt;V21,1,0),IF(W20&gt;W21,1,0))))</f>
        <v/>
      </c>
      <c r="U20" s="150"/>
      <c r="V20" s="151"/>
      <c r="W20" s="152"/>
      <c r="X20" s="413">
        <v>15</v>
      </c>
      <c r="Y20" s="415" t="str">
        <f>IF(Y10="","",Y10)</f>
        <v/>
      </c>
      <c r="Z20" s="415"/>
      <c r="AA20" s="25" t="str">
        <f>IF(COUNT(AB20:AD20)&lt;1,"",IF(SUM(IF(AB20&gt;AB21,1,0),IF(AC20&gt;AC21,1,0),IF(AD20&gt;AD21,1,0))&gt;2,"??",SUM(IF(AB20&gt;AB21,1,0),IF(AC20&gt;AC21,1,0),IF(AD20&gt;AD21,1,0))))</f>
        <v/>
      </c>
      <c r="AB20" s="150"/>
      <c r="AC20" s="151"/>
      <c r="AD20" s="152"/>
      <c r="AE20" s="418" t="s">
        <v>45</v>
      </c>
      <c r="AG20" s="109">
        <f>$J$20</f>
        <v>11</v>
      </c>
      <c r="AH20" s="161"/>
      <c r="AI20" s="109">
        <f>$H$39</f>
        <v>27</v>
      </c>
      <c r="AJ20" s="161"/>
      <c r="AK20" s="421" t="s">
        <v>236</v>
      </c>
      <c r="AL20" s="422"/>
      <c r="AN20" s="205">
        <f>IF($J16="","",$J16)</f>
        <v>3</v>
      </c>
      <c r="AO20" s="206" t="str">
        <f t="shared" ref="AO20:AO30" si="4">IF($J$5="","",$J$5)</f>
        <v>Grupo B</v>
      </c>
      <c r="AP20" s="346" t="str">
        <f>IF($K$17="","",$K$17)</f>
        <v/>
      </c>
      <c r="AQ20" s="347" t="str">
        <f t="shared" si="0"/>
        <v>Grupo A</v>
      </c>
      <c r="AR20" s="347" t="str">
        <f t="shared" si="0"/>
        <v>Grupo A</v>
      </c>
      <c r="AS20" s="348" t="str">
        <f t="shared" si="0"/>
        <v>Grupo A</v>
      </c>
      <c r="AT20" s="207" t="str">
        <f>IF(COUNT($M$16:$M$17)&lt;2,"",IF($M$16&lt;$M$17,"V",IF($M$16&gt;$M$17,"D","Empate??")))</f>
        <v/>
      </c>
      <c r="AU20" s="208" t="str">
        <f>IF(COUNT($M$16:$M$17)&lt;2,"",$M$17)</f>
        <v/>
      </c>
      <c r="AV20" s="209" t="str">
        <f>IF(COUNT($M$16:$M$17)&lt;2,"",$M$16)</f>
        <v/>
      </c>
      <c r="AW20" s="210" t="str">
        <f t="shared" si="3"/>
        <v/>
      </c>
      <c r="AX20" s="209" t="str">
        <f>IF(COUNT($M$16:$M$17)&lt;2,"",SUM($N$17:$P$17))</f>
        <v/>
      </c>
      <c r="AY20" s="211" t="str">
        <f>IF(COUNT($M$16:$M$17)&lt;2,"",SUM($N$16:$P$16))</f>
        <v/>
      </c>
      <c r="AZ20" s="212" t="str">
        <f t="shared" si="2"/>
        <v/>
      </c>
    </row>
    <row r="21" spans="2:52" ht="15" customHeight="1">
      <c r="B21" s="126"/>
      <c r="C21" s="414"/>
      <c r="D21" s="409" t="str">
        <f>IF(D9="","",D9)</f>
        <v/>
      </c>
      <c r="E21" s="409"/>
      <c r="F21" s="26" t="str">
        <f>IF(COUNT(G21:I21)&lt;1,"",IF(SUM(IF(G21&gt;G20,1,0),IF(H21&gt;H20,1,0),IF(I21&gt;I20,1,0))&gt;2,"??",SUM(IF(G21&gt;G20,1,0),IF(H21&gt;H20,1,0),IF(I21&gt;I20,1,0))))</f>
        <v/>
      </c>
      <c r="G21" s="141"/>
      <c r="H21" s="142"/>
      <c r="I21" s="143"/>
      <c r="J21" s="414"/>
      <c r="K21" s="409" t="str">
        <f>IF(K9="","",K9)</f>
        <v>J Boaventura/P Gonçalves (Norte)</v>
      </c>
      <c r="L21" s="409"/>
      <c r="M21" s="26" t="str">
        <f>IF(COUNT(N21:P21)&lt;1,"",IF(SUM(IF(N21&gt;N20,1,0),IF(O21&gt;O20,1,0),IF(P21&gt;P20,1,0))&gt;2,"??",SUM(IF(N21&gt;N20,1,0),IF(O21&gt;O20,1,0),IF(P21&gt;P20,1,0))))</f>
        <v/>
      </c>
      <c r="N21" s="141"/>
      <c r="O21" s="142"/>
      <c r="P21" s="143"/>
      <c r="Q21" s="414"/>
      <c r="R21" s="409" t="str">
        <f>IF(R9="","",R9)</f>
        <v/>
      </c>
      <c r="S21" s="409"/>
      <c r="T21" s="26" t="str">
        <f>IF(COUNT(U21:W21)&lt;1,"",IF(SUM(IF(U21&gt;U20,1,0),IF(V21&gt;V20,1,0),IF(W21&gt;W20,1,0))&gt;2,"??",SUM(IF(U21&gt;U20,1,0),IF(V21&gt;V20,1,0),IF(W21&gt;W20,1,0))))</f>
        <v/>
      </c>
      <c r="U21" s="141"/>
      <c r="V21" s="142"/>
      <c r="W21" s="143"/>
      <c r="X21" s="414"/>
      <c r="Y21" s="409" t="str">
        <f>IF(Y9="","",Y9)</f>
        <v>M Pinela/S Boavista (Alentejo)</v>
      </c>
      <c r="Z21" s="409"/>
      <c r="AA21" s="26" t="str">
        <f>IF(COUNT(AB21:AD21)&lt;1,"",IF(SUM(IF(AB21&gt;AB20,1,0),IF(AC21&gt;AC20,1,0),IF(AD21&gt;AD20,1,0))&gt;2,"??",SUM(IF(AB21&gt;AB20,1,0),IF(AC21&gt;AC20,1,0),IF(AD21&gt;AD20,1,0))))</f>
        <v/>
      </c>
      <c r="AB21" s="141"/>
      <c r="AC21" s="142"/>
      <c r="AD21" s="143"/>
      <c r="AE21" s="419"/>
      <c r="AG21" s="109">
        <f>$J$22</f>
        <v>12</v>
      </c>
      <c r="AH21" s="161"/>
      <c r="AI21" s="109">
        <f>$H$43</f>
        <v>28</v>
      </c>
      <c r="AJ21" s="161"/>
      <c r="AK21" s="159">
        <f>$O$88</f>
        <v>41</v>
      </c>
      <c r="AL21" s="160"/>
      <c r="AN21" s="213">
        <f>IF($J18="","",$J18)</f>
        <v>4</v>
      </c>
      <c r="AO21" s="214" t="str">
        <f t="shared" si="4"/>
        <v>Grupo B</v>
      </c>
      <c r="AP21" s="349" t="str">
        <f>IF($K$18="","",$K$18)</f>
        <v>A Grilo/D Monteiro (Lisboa)</v>
      </c>
      <c r="AQ21" s="350" t="str">
        <f t="shared" si="0"/>
        <v>Grupo A</v>
      </c>
      <c r="AR21" s="350" t="str">
        <f t="shared" si="0"/>
        <v>Grupo A</v>
      </c>
      <c r="AS21" s="351" t="str">
        <f t="shared" si="0"/>
        <v>Grupo A</v>
      </c>
      <c r="AT21" s="215" t="str">
        <f>IF(COUNT($M$18:$M$19)&lt;2,"",IF($M$18&gt;$M$19,"V",IF($M$18&lt;$M$19,"D","Empate??")))</f>
        <v/>
      </c>
      <c r="AU21" s="216" t="str">
        <f>IF(COUNT($M$18:$M$19)&lt;2,"",$M$18)</f>
        <v/>
      </c>
      <c r="AV21" s="217" t="str">
        <f>IF(COUNT($M$18:$M$19)&lt;2,"",$M$19)</f>
        <v/>
      </c>
      <c r="AW21" s="218" t="str">
        <f t="shared" si="3"/>
        <v/>
      </c>
      <c r="AX21" s="217" t="str">
        <f>IF(COUNT($M$18:$M$19)&lt;2,"",SUM($N$18:$P$18))</f>
        <v/>
      </c>
      <c r="AY21" s="219" t="str">
        <f>IF(COUNT($M$18:$M$19)&lt;2,"",SUM($N$19:$P$19))</f>
        <v/>
      </c>
      <c r="AZ21" s="220" t="str">
        <f t="shared" si="2"/>
        <v/>
      </c>
    </row>
    <row r="22" spans="2:52" ht="15" customHeight="1">
      <c r="B22" s="126"/>
      <c r="C22" s="410">
        <v>10</v>
      </c>
      <c r="D22" s="391" t="str">
        <f>IF(D7="","",D7)</f>
        <v>A Carvalho/A Lisboa (Lisboa)</v>
      </c>
      <c r="E22" s="391"/>
      <c r="F22" s="27" t="str">
        <f>IF(COUNT(G22:I22)&lt;1,"",IF(SUM(IF(G22&gt;G23,1,0),IF(H22&gt;H23,1,0),IF(I22&gt;I23,1,0))&gt;2,"??",SUM(IF(G22&gt;G23,1,0),IF(H22&gt;H23,1,0),IF(I22&gt;I23,1,0))))</f>
        <v/>
      </c>
      <c r="G22" s="144"/>
      <c r="H22" s="145"/>
      <c r="I22" s="146"/>
      <c r="J22" s="410">
        <v>12</v>
      </c>
      <c r="K22" s="391" t="str">
        <f>IF(K7="","",K7)</f>
        <v>D Mackaaij/J Arez (Algarve)</v>
      </c>
      <c r="L22" s="391"/>
      <c r="M22" s="27" t="str">
        <f>IF(COUNT(N22:P22)&lt;1,"",IF(SUM(IF(N22&gt;N23,1,0),IF(O22&gt;O23,1,0),IF(P22&gt;P23,1,0))&gt;2,"??",SUM(IF(N22&gt;N23,1,0),IF(O22&gt;O23,1,0),IF(P22&gt;P23,1,0))))</f>
        <v/>
      </c>
      <c r="N22" s="144"/>
      <c r="O22" s="145"/>
      <c r="P22" s="146"/>
      <c r="Q22" s="410">
        <v>14</v>
      </c>
      <c r="R22" s="391" t="str">
        <f>IF(R7="","",R7)</f>
        <v>A Ferreira/P Nunes (Centro)</v>
      </c>
      <c r="S22" s="391"/>
      <c r="T22" s="27" t="str">
        <f>IF(COUNT(U22:W22)&lt;1,"",IF(SUM(IF(U22&gt;U23,1,0),IF(V22&gt;V23,1,0),IF(W22&gt;W23,1,0))&gt;2,"??",SUM(IF(U22&gt;U23,1,0),IF(V22&gt;V23,1,0),IF(W22&gt;W23,1,0))))</f>
        <v/>
      </c>
      <c r="U22" s="144"/>
      <c r="V22" s="145"/>
      <c r="W22" s="146"/>
      <c r="X22" s="410">
        <v>16</v>
      </c>
      <c r="Y22" s="391" t="str">
        <f>IF(Y7="","",Y7)</f>
        <v>F Moreira/H Ribeiro (Norte)</v>
      </c>
      <c r="Z22" s="391"/>
      <c r="AA22" s="27" t="str">
        <f>IF(COUNT(AB22:AD22)&lt;1,"",IF(SUM(IF(AB22&gt;AB23,1,0),IF(AC22&gt;AC23,1,0),IF(AD22&gt;AD23,1,0))&gt;2,"??",SUM(IF(AB22&gt;AB23,1,0),IF(AC22&gt;AC23,1,0),IF(AD22&gt;AD23,1,0))))</f>
        <v/>
      </c>
      <c r="AB22" s="144"/>
      <c r="AC22" s="145"/>
      <c r="AD22" s="146"/>
      <c r="AE22" s="419"/>
      <c r="AG22" s="109">
        <f>$Q$20</f>
        <v>13</v>
      </c>
      <c r="AH22" s="161"/>
      <c r="AI22" s="109">
        <f>$O$33</f>
        <v>29</v>
      </c>
      <c r="AJ22" s="161"/>
      <c r="AK22" s="109">
        <f>$O$96</f>
        <v>42</v>
      </c>
      <c r="AL22" s="161"/>
      <c r="AN22" s="205">
        <f>IF($J18="","",$J18)</f>
        <v>4</v>
      </c>
      <c r="AO22" s="206" t="str">
        <f t="shared" si="4"/>
        <v>Grupo B</v>
      </c>
      <c r="AP22" s="346" t="str">
        <f>IF($K$19="","",$K$19)</f>
        <v>J Boaventura/P Gonçalves (Norte)</v>
      </c>
      <c r="AQ22" s="347" t="str">
        <f t="shared" si="0"/>
        <v>Grupo A</v>
      </c>
      <c r="AR22" s="347" t="str">
        <f t="shared" si="0"/>
        <v>Grupo A</v>
      </c>
      <c r="AS22" s="348" t="str">
        <f t="shared" si="0"/>
        <v>Grupo A</v>
      </c>
      <c r="AT22" s="207" t="str">
        <f>IF(COUNT($M$18:$M$19)&lt;2,"",IF($M$18&lt;$M$19,"V",IF($M$18&gt;$M$19,"D","Empate??")))</f>
        <v/>
      </c>
      <c r="AU22" s="208" t="str">
        <f>IF(COUNT($M$18:$M$19)&lt;2,"",$M$19)</f>
        <v/>
      </c>
      <c r="AV22" s="209" t="str">
        <f>IF(COUNT($M$18:$M$19)&lt;2,"",$M$18)</f>
        <v/>
      </c>
      <c r="AW22" s="210" t="str">
        <f t="shared" si="3"/>
        <v/>
      </c>
      <c r="AX22" s="209" t="str">
        <f>IF(COUNT($M$18:$M$19)&lt;2,"",SUM($N$19:$P$19))</f>
        <v/>
      </c>
      <c r="AY22" s="211" t="str">
        <f>IF(COUNT($M$18:$M$19)&lt;2,"",SUM($N$18:$P$18))</f>
        <v/>
      </c>
      <c r="AZ22" s="212" t="str">
        <f t="shared" si="2"/>
        <v/>
      </c>
    </row>
    <row r="23" spans="2:52" ht="15" customHeight="1" thickBot="1">
      <c r="B23" s="126"/>
      <c r="C23" s="411"/>
      <c r="D23" s="412" t="str">
        <f>IF(D8="","",D8)</f>
        <v>G Almeida/H Aston (Norte)</v>
      </c>
      <c r="E23" s="412"/>
      <c r="F23" s="28" t="str">
        <f>IF(COUNT(G23:I23)&lt;1,"",IF(SUM(IF(G23&gt;G22,1,0),IF(H23&gt;H22,1,0),IF(I23&gt;I22,1,0))&gt;2,"??",SUM(IF(G23&gt;G22,1,0),IF(H23&gt;H22,1,0),IF(I23&gt;I22,1,0))))</f>
        <v/>
      </c>
      <c r="G23" s="153"/>
      <c r="H23" s="154"/>
      <c r="I23" s="155"/>
      <c r="J23" s="411"/>
      <c r="K23" s="412" t="str">
        <f>IF(K8="","",K8)</f>
        <v>A Grilo/D Monteiro (Lisboa)</v>
      </c>
      <c r="L23" s="412"/>
      <c r="M23" s="28" t="str">
        <f>IF(COUNT(N23:P23)&lt;1,"",IF(SUM(IF(N23&gt;N22,1,0),IF(O23&gt;O22,1,0),IF(P23&gt;P22,1,0))&gt;2,"??",SUM(IF(N23&gt;N22,1,0),IF(O23&gt;O22,1,0),IF(P23&gt;P22,1,0))))</f>
        <v/>
      </c>
      <c r="N23" s="153"/>
      <c r="O23" s="154"/>
      <c r="P23" s="155"/>
      <c r="Q23" s="411"/>
      <c r="R23" s="412" t="str">
        <f>IF(R8="","",R8)</f>
        <v>V Murteira/V Vicente (Lisboa)</v>
      </c>
      <c r="S23" s="412"/>
      <c r="T23" s="28" t="str">
        <f>IF(COUNT(U23:W23)&lt;1,"",IF(SUM(IF(U23&gt;U22,1,0),IF(V23&gt;V22,1,0),IF(W23&gt;W22,1,0))&gt;2,"??",SUM(IF(U23&gt;U22,1,0),IF(V23&gt;V22,1,0),IF(W23&gt;W22,1,0))))</f>
        <v/>
      </c>
      <c r="U23" s="153"/>
      <c r="V23" s="154"/>
      <c r="W23" s="155"/>
      <c r="X23" s="411"/>
      <c r="Y23" s="412" t="str">
        <f>IF(Y8="","",Y8)</f>
        <v>L Macrino/G Moita (Lisboa)</v>
      </c>
      <c r="Z23" s="412"/>
      <c r="AA23" s="28" t="str">
        <f>IF(COUNT(AB23:AD23)&lt;1,"",IF(SUM(IF(AB23&gt;AB22,1,0),IF(AC23&gt;AC22,1,0),IF(AD23&gt;AD22,1,0))&gt;2,"??",SUM(IF(AB23&gt;AB22,1,0),IF(AC23&gt;AC22,1,0),IF(AD23&gt;AD22,1,0))))</f>
        <v/>
      </c>
      <c r="AB23" s="153"/>
      <c r="AC23" s="154"/>
      <c r="AD23" s="155"/>
      <c r="AE23" s="420"/>
      <c r="AG23" s="109">
        <f>$Q$22</f>
        <v>14</v>
      </c>
      <c r="AH23" s="161"/>
      <c r="AI23" s="109">
        <f>$O$41</f>
        <v>30</v>
      </c>
      <c r="AJ23" s="161"/>
      <c r="AK23" s="109">
        <f>$V$92</f>
        <v>43</v>
      </c>
      <c r="AL23" s="161"/>
      <c r="AN23" s="221">
        <f>IF($J20="","",$J20)</f>
        <v>11</v>
      </c>
      <c r="AO23" s="222" t="str">
        <f t="shared" si="4"/>
        <v>Grupo B</v>
      </c>
      <c r="AP23" s="349" t="str">
        <f>IF($K$20="","",$K$20)</f>
        <v/>
      </c>
      <c r="AQ23" s="350" t="str">
        <f t="shared" ref="AQ23:AS38" si="5">IF($C$5="","",$C$5)</f>
        <v>Grupo A</v>
      </c>
      <c r="AR23" s="350" t="str">
        <f t="shared" si="5"/>
        <v>Grupo A</v>
      </c>
      <c r="AS23" s="351" t="str">
        <f t="shared" si="5"/>
        <v>Grupo A</v>
      </c>
      <c r="AT23" s="223" t="str">
        <f>IF(COUNT($M$20:$M$21)&lt;2,"",IF($M$20&gt;$M$21,"V",IF($M$20&lt;$M$21,"D","Empate??")))</f>
        <v/>
      </c>
      <c r="AU23" s="224" t="str">
        <f>IF(COUNT($M$20:$M$21)&lt;2,"",$M$20)</f>
        <v/>
      </c>
      <c r="AV23" s="225" t="str">
        <f>IF(COUNT($M$20:$M$21)&lt;2,"",$M$21)</f>
        <v/>
      </c>
      <c r="AW23" s="226" t="str">
        <f t="shared" si="3"/>
        <v/>
      </c>
      <c r="AX23" s="225" t="str">
        <f>IF(COUNT($M$20:$M$21)&lt;2,"",SUM($N$20:$P$20))</f>
        <v/>
      </c>
      <c r="AY23" s="227" t="str">
        <f>IF(COUNT($M$20:$M$21)&lt;2,"",SUM($N$21:$P$21))</f>
        <v/>
      </c>
      <c r="AZ23" s="228" t="str">
        <f t="shared" si="2"/>
        <v/>
      </c>
    </row>
    <row r="24" spans="2:52" ht="15" customHeight="1" thickTop="1" thickBot="1">
      <c r="B24" s="126"/>
      <c r="C24" s="392">
        <v>17</v>
      </c>
      <c r="D24" s="394" t="str">
        <f>IF(D8="","",D8)</f>
        <v>G Almeida/H Aston (Norte)</v>
      </c>
      <c r="E24" s="394"/>
      <c r="F24" s="22" t="str">
        <f>IF(COUNT(G24:I24)&lt;1,"",IF(SUM(IF(G24&gt;G25,1,0),IF(H24&gt;H25,1,0),IF(I24&gt;I25,1,0))&gt;2,"??",SUM(IF(G24&gt;G25,1,0),IF(H24&gt;H25,1,0),IF(I24&gt;I25,1,0))))</f>
        <v/>
      </c>
      <c r="G24" s="141"/>
      <c r="H24" s="142"/>
      <c r="I24" s="143"/>
      <c r="J24" s="392">
        <v>19</v>
      </c>
      <c r="K24" s="394" t="str">
        <f>IF(K8="","",K8)</f>
        <v>A Grilo/D Monteiro (Lisboa)</v>
      </c>
      <c r="L24" s="394"/>
      <c r="M24" s="22" t="str">
        <f>IF(COUNT(N24:P24)&lt;1,"",IF(SUM(IF(N24&gt;N25,1,0),IF(O24&gt;O25,1,0),IF(P24&gt;P25,1,0))&gt;2,"??",SUM(IF(N24&gt;N25,1,0),IF(O24&gt;O25,1,0),IF(P24&gt;P25,1,0))))</f>
        <v/>
      </c>
      <c r="N24" s="141"/>
      <c r="O24" s="142"/>
      <c r="P24" s="143"/>
      <c r="Q24" s="392">
        <v>21</v>
      </c>
      <c r="R24" s="394" t="str">
        <f>IF(R8="","",R8)</f>
        <v>V Murteira/V Vicente (Lisboa)</v>
      </c>
      <c r="S24" s="394"/>
      <c r="T24" s="22" t="str">
        <f>IF(COUNT(U24:W24)&lt;1,"",IF(SUM(IF(U24&gt;U25,1,0),IF(V24&gt;V25,1,0),IF(W24&gt;W25,1,0))&gt;2,"??",SUM(IF(U24&gt;U25,1,0),IF(V24&gt;V25,1,0),IF(W24&gt;W25,1,0))))</f>
        <v/>
      </c>
      <c r="U24" s="141"/>
      <c r="V24" s="142"/>
      <c r="W24" s="143"/>
      <c r="X24" s="392">
        <v>23</v>
      </c>
      <c r="Y24" s="394" t="str">
        <f>IF(Y8="","",Y8)</f>
        <v>L Macrino/G Moita (Lisboa)</v>
      </c>
      <c r="Z24" s="394"/>
      <c r="AA24" s="22" t="str">
        <f>IF(COUNT(AB24:AD24)&lt;1,"",IF(SUM(IF(AB24&gt;AB25,1,0),IF(AC24&gt;AC25,1,0),IF(AD24&gt;AD25,1,0))&gt;2,"??",SUM(IF(AB24&gt;AB25,1,0),IF(AC24&gt;AC25,1,0),IF(AD24&gt;AD25,1,0))))</f>
        <v/>
      </c>
      <c r="AB24" s="141"/>
      <c r="AC24" s="142"/>
      <c r="AD24" s="143"/>
      <c r="AE24" s="395" t="s">
        <v>46</v>
      </c>
      <c r="AG24" s="109">
        <f>$X$20</f>
        <v>15</v>
      </c>
      <c r="AH24" s="161"/>
      <c r="AI24" s="109">
        <f>$V$37</f>
        <v>31</v>
      </c>
      <c r="AJ24" s="161"/>
      <c r="AK24" s="130">
        <f>$W$92</f>
        <v>44</v>
      </c>
      <c r="AL24" s="163"/>
      <c r="AN24" s="205">
        <f>IF($J20="","",$J20)</f>
        <v>11</v>
      </c>
      <c r="AO24" s="206" t="str">
        <f t="shared" si="4"/>
        <v>Grupo B</v>
      </c>
      <c r="AP24" s="346" t="str">
        <f>IF($K$21="","",$K$21)</f>
        <v>J Boaventura/P Gonçalves (Norte)</v>
      </c>
      <c r="AQ24" s="347" t="str">
        <f t="shared" si="5"/>
        <v>Grupo A</v>
      </c>
      <c r="AR24" s="347" t="str">
        <f t="shared" si="5"/>
        <v>Grupo A</v>
      </c>
      <c r="AS24" s="348" t="str">
        <f t="shared" si="5"/>
        <v>Grupo A</v>
      </c>
      <c r="AT24" s="207" t="str">
        <f>IF(COUNT($M$20:$M$21)&lt;2,"",IF($M$20&lt;$M$21,"V",IF($M$20&gt;$M$21,"D","Empate??")))</f>
        <v/>
      </c>
      <c r="AU24" s="208" t="str">
        <f>IF(COUNT($M$20:$M$21)&lt;2,"",$M$21)</f>
        <v/>
      </c>
      <c r="AV24" s="209" t="str">
        <f>IF(COUNT($M$20:$M$21)&lt;2,"",$M$20)</f>
        <v/>
      </c>
      <c r="AW24" s="210" t="str">
        <f t="shared" si="3"/>
        <v/>
      </c>
      <c r="AX24" s="209" t="str">
        <f>IF(COUNT($M$20:$M$21)&lt;2,"",SUM($N$21:$P$21))</f>
        <v/>
      </c>
      <c r="AY24" s="211" t="str">
        <f>IF(COUNT($M$20:$M$21)&lt;2,"",SUM($N$20:$P$20))</f>
        <v/>
      </c>
      <c r="AZ24" s="212" t="str">
        <f t="shared" si="2"/>
        <v/>
      </c>
    </row>
    <row r="25" spans="2:52" ht="15" customHeight="1" thickBot="1">
      <c r="B25" s="126"/>
      <c r="C25" s="393"/>
      <c r="D25" s="398" t="str">
        <f>IF(D10="","",D10)</f>
        <v/>
      </c>
      <c r="E25" s="398"/>
      <c r="F25" s="22" t="str">
        <f>IF(COUNT(G25:I25)&lt;1,"",IF(SUM(IF(G25&gt;G24,1,0),IF(H25&gt;H24,1,0),IF(I25&gt;I24,1,0))&gt;2,"??",SUM(IF(G25&gt;G24,1,0),IF(H25&gt;H24,1,0),IF(I25&gt;I24,1,0))))</f>
        <v/>
      </c>
      <c r="G25" s="141"/>
      <c r="H25" s="142"/>
      <c r="I25" s="143"/>
      <c r="J25" s="393"/>
      <c r="K25" s="398" t="str">
        <f>IF(K10="","",K10)</f>
        <v/>
      </c>
      <c r="L25" s="398"/>
      <c r="M25" s="22" t="str">
        <f>IF(COUNT(N25:P25)&lt;1,"",IF(SUM(IF(N25&gt;N24,1,0),IF(O25&gt;O24,1,0),IF(P25&gt;P24,1,0))&gt;2,"??",SUM(IF(N25&gt;N24,1,0),IF(O25&gt;O24,1,0),IF(P25&gt;P24,1,0))))</f>
        <v/>
      </c>
      <c r="N25" s="141"/>
      <c r="O25" s="142"/>
      <c r="P25" s="143"/>
      <c r="Q25" s="393"/>
      <c r="R25" s="398" t="str">
        <f>IF(R10="","",R10)</f>
        <v/>
      </c>
      <c r="S25" s="398"/>
      <c r="T25" s="22" t="str">
        <f>IF(COUNT(U25:W25)&lt;1,"",IF(SUM(IF(U25&gt;U24,1,0),IF(V25&gt;V24,1,0),IF(W25&gt;W24,1,0))&gt;2,"??",SUM(IF(U25&gt;U24,1,0),IF(V25&gt;V24,1,0),IF(W25&gt;W24,1,0))))</f>
        <v/>
      </c>
      <c r="U25" s="141"/>
      <c r="V25" s="142"/>
      <c r="W25" s="143"/>
      <c r="X25" s="393"/>
      <c r="Y25" s="398" t="str">
        <f>IF(Y10="","",Y10)</f>
        <v/>
      </c>
      <c r="Z25" s="398"/>
      <c r="AA25" s="22" t="str">
        <f>IF(COUNT(AB25:AD25)&lt;1,"",IF(SUM(IF(AB25&gt;AB24,1,0),IF(AC25&gt;AC24,1,0),IF(AD25&gt;AD24,1,0))&gt;2,"??",SUM(IF(AB25&gt;AB24,1,0),IF(AC25&gt;AC24,1,0),IF(AD25&gt;AD24,1,0))))</f>
        <v/>
      </c>
      <c r="AB25" s="141"/>
      <c r="AC25" s="142"/>
      <c r="AD25" s="143"/>
      <c r="AE25" s="396"/>
      <c r="AG25" s="130">
        <f>$X$22</f>
        <v>16</v>
      </c>
      <c r="AH25" s="163"/>
      <c r="AI25" s="130">
        <f>$W$37</f>
        <v>32</v>
      </c>
      <c r="AJ25" s="163"/>
      <c r="AK25" s="159"/>
      <c r="AL25" s="293"/>
      <c r="AN25" s="221">
        <f>IF($J22="","",$J22)</f>
        <v>12</v>
      </c>
      <c r="AO25" s="222" t="str">
        <f t="shared" si="4"/>
        <v>Grupo B</v>
      </c>
      <c r="AP25" s="349" t="str">
        <f>IF($K$22="","",$K$22)</f>
        <v>D Mackaaij/J Arez (Algarve)</v>
      </c>
      <c r="AQ25" s="350" t="str">
        <f t="shared" si="5"/>
        <v>Grupo A</v>
      </c>
      <c r="AR25" s="350" t="str">
        <f t="shared" si="5"/>
        <v>Grupo A</v>
      </c>
      <c r="AS25" s="351" t="str">
        <f t="shared" si="5"/>
        <v>Grupo A</v>
      </c>
      <c r="AT25" s="223" t="str">
        <f>IF(COUNT($M$22:$M$23)&lt;2,"",IF($M$22&gt;$M$23,"V",IF($M$22&lt;$M$23,"D","Empate??")))</f>
        <v/>
      </c>
      <c r="AU25" s="224" t="str">
        <f>IF(COUNT($M$22:$M$23)&lt;2,"",$M$22)</f>
        <v/>
      </c>
      <c r="AV25" s="225" t="str">
        <f>IF(COUNT($M$22:$M$23)&lt;2,"",$M$23)</f>
        <v/>
      </c>
      <c r="AW25" s="226" t="str">
        <f t="shared" si="3"/>
        <v/>
      </c>
      <c r="AX25" s="225" t="str">
        <f>IF(COUNT($M$22:$M$23)&lt;2,"",SUM($N$22:$P$22))</f>
        <v/>
      </c>
      <c r="AY25" s="227" t="str">
        <f>IF(COUNT($M$22:$M$23)&lt;2,"",SUM($N$23:$P$23))</f>
        <v/>
      </c>
      <c r="AZ25" s="228" t="str">
        <f t="shared" si="2"/>
        <v/>
      </c>
    </row>
    <row r="26" spans="2:52" ht="15" customHeight="1" thickBot="1">
      <c r="B26" s="126"/>
      <c r="C26" s="373">
        <v>18</v>
      </c>
      <c r="D26" s="375" t="str">
        <f>IF(D9="","",D9)</f>
        <v/>
      </c>
      <c r="E26" s="375"/>
      <c r="F26" s="23" t="str">
        <f>IF(COUNT(G26:I26)&lt;1,"",IF(SUM(IF(G26&gt;G27,1,0),IF(H26&gt;H27,1,0),IF(I26&gt;I27,1,0))&gt;2,"??",SUM(IF(G26&gt;G27,1,0),IF(H26&gt;H27,1,0),IF(I26&gt;I27,1,0))))</f>
        <v/>
      </c>
      <c r="G26" s="144"/>
      <c r="H26" s="145"/>
      <c r="I26" s="146"/>
      <c r="J26" s="373">
        <v>20</v>
      </c>
      <c r="K26" s="375" t="str">
        <f>IF(K9="","",K9)</f>
        <v>J Boaventura/P Gonçalves (Norte)</v>
      </c>
      <c r="L26" s="375"/>
      <c r="M26" s="23" t="str">
        <f>IF(COUNT(N26:P26)&lt;1,"",IF(SUM(IF(N26&gt;N27,1,0),IF(O26&gt;O27,1,0),IF(P26&gt;P27,1,0))&gt;2,"??",SUM(IF(N26&gt;N27,1,0),IF(O26&gt;O27,1,0),IF(P26&gt;P27,1,0))))</f>
        <v/>
      </c>
      <c r="N26" s="144"/>
      <c r="O26" s="145"/>
      <c r="P26" s="146"/>
      <c r="Q26" s="373">
        <v>22</v>
      </c>
      <c r="R26" s="375" t="str">
        <f>IF(R9="","",R9)</f>
        <v/>
      </c>
      <c r="S26" s="375"/>
      <c r="T26" s="23" t="str">
        <f>IF(COUNT(U26:W26)&lt;1,"",IF(SUM(IF(U26&gt;U27,1,0),IF(V26&gt;V27,1,0),IF(W26&gt;W27,1,0))&gt;2,"??",SUM(IF(U26&gt;U27,1,0),IF(V26&gt;V27,1,0),IF(W26&gt;W27,1,0))))</f>
        <v/>
      </c>
      <c r="U26" s="144"/>
      <c r="V26" s="145"/>
      <c r="W26" s="146"/>
      <c r="X26" s="373">
        <v>24</v>
      </c>
      <c r="Y26" s="375" t="str">
        <f>IF(Y9="","",Y9)</f>
        <v>M Pinela/S Boavista (Alentejo)</v>
      </c>
      <c r="Z26" s="375"/>
      <c r="AA26" s="23" t="str">
        <f>IF(COUNT(AB26:AD26)&lt;1,"",IF(SUM(IF(AB26&gt;AB27,1,0),IF(AC26&gt;AC27,1,0),IF(AD26&gt;AD27,1,0))&gt;2,"??",SUM(IF(AB26&gt;AB27,1,0),IF(AC26&gt;AC27,1,0),IF(AD26&gt;AD27,1,0))))</f>
        <v/>
      </c>
      <c r="AB26" s="144"/>
      <c r="AC26" s="145"/>
      <c r="AD26" s="146"/>
      <c r="AE26" s="396"/>
      <c r="AG26" s="399" t="s">
        <v>237</v>
      </c>
      <c r="AH26" s="399"/>
      <c r="AI26" s="399" t="s">
        <v>238</v>
      </c>
      <c r="AJ26" s="399"/>
      <c r="AN26" s="205">
        <f>IF($J22="","",$J22)</f>
        <v>12</v>
      </c>
      <c r="AO26" s="206" t="str">
        <f t="shared" si="4"/>
        <v>Grupo B</v>
      </c>
      <c r="AP26" s="346" t="str">
        <f>IF($K$23="","",$K$23)</f>
        <v>A Grilo/D Monteiro (Lisboa)</v>
      </c>
      <c r="AQ26" s="347" t="str">
        <f t="shared" si="5"/>
        <v>Grupo A</v>
      </c>
      <c r="AR26" s="347" t="str">
        <f t="shared" si="5"/>
        <v>Grupo A</v>
      </c>
      <c r="AS26" s="348" t="str">
        <f t="shared" si="5"/>
        <v>Grupo A</v>
      </c>
      <c r="AT26" s="207" t="str">
        <f>IF(COUNT($M$22:$M$23)&lt;2,"",IF($M$22&lt;$M$23,"V",IF($M$22&gt;$M$23,"D","Empate??")))</f>
        <v/>
      </c>
      <c r="AU26" s="208" t="str">
        <f>IF(COUNT($M$22:$M$23)&lt;2,"",$M$23)</f>
        <v/>
      </c>
      <c r="AV26" s="209" t="str">
        <f>IF(COUNT($M$22:$M$23)&lt;2,"",$M$22)</f>
        <v/>
      </c>
      <c r="AW26" s="210" t="str">
        <f t="shared" si="3"/>
        <v/>
      </c>
      <c r="AX26" s="209" t="str">
        <f>IF(COUNT($M$22:$M$23)&lt;2,"",SUM($N$23:$P$23))</f>
        <v/>
      </c>
      <c r="AY26" s="211" t="str">
        <f>IF(COUNT($M$22:$M$23)&lt;2,"",SUM($N$22:$P$22))</f>
        <v/>
      </c>
      <c r="AZ26" s="212" t="str">
        <f t="shared" si="2"/>
        <v/>
      </c>
    </row>
    <row r="27" spans="2:52" ht="15" customHeight="1" thickBot="1">
      <c r="B27" s="126"/>
      <c r="C27" s="374"/>
      <c r="D27" s="400" t="str">
        <f>IF(D7="","",D7)</f>
        <v>A Carvalho/A Lisboa (Lisboa)</v>
      </c>
      <c r="E27" s="400"/>
      <c r="F27" s="29" t="str">
        <f>IF(COUNT(G27:I27)&lt;1,"",IF(SUM(IF(G27&gt;G26,1,0),IF(H27&gt;H26,1,0),IF(I27&gt;I26,1,0))&gt;2,"??",SUM(IF(G27&gt;G26,1,0),IF(H27&gt;H26,1,0),IF(I27&gt;I26,1,0))))</f>
        <v/>
      </c>
      <c r="G27" s="156"/>
      <c r="H27" s="157"/>
      <c r="I27" s="158"/>
      <c r="J27" s="374"/>
      <c r="K27" s="400" t="str">
        <f>IF(K7="","",K7)</f>
        <v>D Mackaaij/J Arez (Algarve)</v>
      </c>
      <c r="L27" s="400"/>
      <c r="M27" s="29" t="str">
        <f>IF(COUNT(N27:P27)&lt;1,"",IF(SUM(IF(N27&gt;N26,1,0),IF(O27&gt;O26,1,0),IF(P27&gt;P26,1,0))&gt;2,"??",SUM(IF(N27&gt;N26,1,0),IF(O27&gt;O26,1,0),IF(P27&gt;P26,1,0))))</f>
        <v/>
      </c>
      <c r="N27" s="156"/>
      <c r="O27" s="157"/>
      <c r="P27" s="158"/>
      <c r="Q27" s="374"/>
      <c r="R27" s="400" t="str">
        <f>IF(R7="","",R7)</f>
        <v>A Ferreira/P Nunes (Centro)</v>
      </c>
      <c r="S27" s="400"/>
      <c r="T27" s="29" t="str">
        <f>IF(COUNT(U27:W27)&lt;1,"",IF(SUM(IF(U27&gt;U26,1,0),IF(V27&gt;V26,1,0),IF(W27&gt;W26,1,0))&gt;2,"??",SUM(IF(U27&gt;U26,1,0),IF(V27&gt;V26,1,0),IF(W27&gt;W26,1,0))))</f>
        <v/>
      </c>
      <c r="U27" s="156"/>
      <c r="V27" s="157"/>
      <c r="W27" s="158"/>
      <c r="X27" s="374"/>
      <c r="Y27" s="400" t="str">
        <f>IF(Y7="","",Y7)</f>
        <v>F Moreira/H Ribeiro (Norte)</v>
      </c>
      <c r="Z27" s="400"/>
      <c r="AA27" s="29" t="str">
        <f>IF(COUNT(AB27:AD27)&lt;1,"",IF(SUM(IF(AB27&gt;AB26,1,0),IF(AC27&gt;AC26,1,0),IF(AD27&gt;AD26,1,0))&gt;2,"??",SUM(IF(AB27&gt;AB26,1,0),IF(AC27&gt;AC26,1,0),IF(AD27&gt;AD26,1,0))))</f>
        <v/>
      </c>
      <c r="AB27" s="156"/>
      <c r="AC27" s="157"/>
      <c r="AD27" s="158"/>
      <c r="AE27" s="397"/>
      <c r="AG27" s="401">
        <v>1</v>
      </c>
      <c r="AH27" s="402"/>
      <c r="AI27" s="405">
        <v>2</v>
      </c>
      <c r="AJ27" s="406"/>
      <c r="AN27" s="221">
        <f>IF($J24="","",$J24)</f>
        <v>19</v>
      </c>
      <c r="AO27" s="222" t="str">
        <f t="shared" si="4"/>
        <v>Grupo B</v>
      </c>
      <c r="AP27" s="349" t="str">
        <f>IF($K$24="","",$K$24)</f>
        <v>A Grilo/D Monteiro (Lisboa)</v>
      </c>
      <c r="AQ27" s="350" t="str">
        <f t="shared" si="5"/>
        <v>Grupo A</v>
      </c>
      <c r="AR27" s="350" t="str">
        <f t="shared" si="5"/>
        <v>Grupo A</v>
      </c>
      <c r="AS27" s="351" t="str">
        <f t="shared" si="5"/>
        <v>Grupo A</v>
      </c>
      <c r="AT27" s="223" t="str">
        <f>IF(COUNT($M$24:$M$25)&lt;2,"",IF($M$24&gt;$M$25,"V",IF($M$24&lt;$M$25,"D","Empate??")))</f>
        <v/>
      </c>
      <c r="AU27" s="224" t="str">
        <f>IF(COUNT($M$24:$M$25)&lt;2,"",$M$24)</f>
        <v/>
      </c>
      <c r="AV27" s="225" t="str">
        <f>IF(COUNT($M$24:$M$25)&lt;2,"",$M$25)</f>
        <v/>
      </c>
      <c r="AW27" s="226" t="str">
        <f t="shared" si="3"/>
        <v/>
      </c>
      <c r="AX27" s="225" t="str">
        <f>IF(COUNT($M$24:$M$25)&lt;2,"",SUM($N$24:$P$24))</f>
        <v/>
      </c>
      <c r="AY27" s="227" t="str">
        <f>IF(COUNT($M$24:$M$25)&lt;2,"",SUM($N$25:$P$25))</f>
        <v/>
      </c>
      <c r="AZ27" s="228" t="str">
        <f t="shared" si="2"/>
        <v/>
      </c>
    </row>
    <row r="28" spans="2:52" ht="15.75" customHeight="1" thickBot="1">
      <c r="B28" s="126"/>
      <c r="C28" s="383" t="s">
        <v>71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0"/>
      <c r="R28" s="31"/>
      <c r="S28" s="32"/>
      <c r="T28" s="33"/>
      <c r="U28" s="32"/>
      <c r="V28" s="32"/>
      <c r="W28" s="32"/>
      <c r="X28" s="30"/>
      <c r="Y28" s="31"/>
      <c r="Z28" s="32"/>
      <c r="AA28" s="33"/>
      <c r="AB28" s="32"/>
      <c r="AC28" s="32"/>
      <c r="AD28" s="32"/>
      <c r="AE28" s="113"/>
      <c r="AG28" s="403"/>
      <c r="AH28" s="404"/>
      <c r="AI28" s="407"/>
      <c r="AJ28" s="408"/>
      <c r="AN28" s="205">
        <f>IF($J24="","",$J24)</f>
        <v>19</v>
      </c>
      <c r="AO28" s="206" t="str">
        <f t="shared" si="4"/>
        <v>Grupo B</v>
      </c>
      <c r="AP28" s="346" t="str">
        <f>IF($K$25="","",$K$25)</f>
        <v/>
      </c>
      <c r="AQ28" s="347" t="str">
        <f t="shared" si="5"/>
        <v>Grupo A</v>
      </c>
      <c r="AR28" s="347" t="str">
        <f t="shared" si="5"/>
        <v>Grupo A</v>
      </c>
      <c r="AS28" s="348" t="str">
        <f t="shared" si="5"/>
        <v>Grupo A</v>
      </c>
      <c r="AT28" s="207" t="str">
        <f>IF(COUNT($M$24:$M$25)&lt;2,"",IF($M$24&lt;$M$25,"V",IF($M$24&gt;$M$25,"D","Empate??")))</f>
        <v/>
      </c>
      <c r="AU28" s="208" t="str">
        <f>IF(COUNT($M$24:$M$25)&lt;2,"",$M$25)</f>
        <v/>
      </c>
      <c r="AV28" s="209" t="str">
        <f>IF(COUNT($M$24:$M$25)&lt;2,"",$M$24)</f>
        <v/>
      </c>
      <c r="AW28" s="210" t="str">
        <f t="shared" si="3"/>
        <v/>
      </c>
      <c r="AX28" s="209" t="str">
        <f>IF(COUNT($M$24:$M$25)&lt;2,"",SUM($N$25:$P$25))</f>
        <v/>
      </c>
      <c r="AY28" s="211" t="str">
        <f>IF(COUNT($M$24:$M$25)&lt;2,"",SUM($N$24:$P$24))</f>
        <v/>
      </c>
      <c r="AZ28" s="212" t="str">
        <f t="shared" si="2"/>
        <v/>
      </c>
    </row>
    <row r="29" spans="2:52" ht="15" hidden="1" customHeight="1">
      <c r="B29" s="125"/>
      <c r="C29" s="167"/>
      <c r="D29" s="61"/>
      <c r="E29" s="61"/>
      <c r="F29" s="167"/>
      <c r="G29" s="167"/>
      <c r="H29" s="167"/>
      <c r="I29" s="61"/>
      <c r="J29" s="167"/>
      <c r="K29" s="259"/>
      <c r="L29" s="61"/>
      <c r="M29" s="61"/>
      <c r="N29" s="61"/>
      <c r="O29" s="61"/>
      <c r="P29" s="61"/>
      <c r="Q29" s="167"/>
      <c r="R29" s="61"/>
      <c r="S29" s="61"/>
      <c r="T29" s="61"/>
      <c r="U29" s="61"/>
      <c r="V29" s="61"/>
      <c r="W29" s="61"/>
      <c r="X29" s="167"/>
      <c r="Y29" s="337" t="s">
        <v>0</v>
      </c>
      <c r="Z29" s="338"/>
      <c r="AA29" s="338"/>
      <c r="AB29" s="338"/>
      <c r="AC29" s="338"/>
      <c r="AD29" s="339"/>
      <c r="AE29" s="3"/>
      <c r="AG29" s="384" t="s">
        <v>47</v>
      </c>
      <c r="AH29" s="384"/>
      <c r="AI29" s="384"/>
      <c r="AJ29" s="384"/>
      <c r="AN29" s="221">
        <f>IF($J26="","",$J26)</f>
        <v>20</v>
      </c>
      <c r="AO29" s="222" t="str">
        <f t="shared" si="4"/>
        <v>Grupo B</v>
      </c>
      <c r="AP29" s="349" t="str">
        <f>IF($K$26="","",$K$26)</f>
        <v>J Boaventura/P Gonçalves (Norte)</v>
      </c>
      <c r="AQ29" s="350" t="str">
        <f t="shared" si="5"/>
        <v>Grupo A</v>
      </c>
      <c r="AR29" s="350" t="str">
        <f t="shared" si="5"/>
        <v>Grupo A</v>
      </c>
      <c r="AS29" s="351" t="str">
        <f t="shared" si="5"/>
        <v>Grupo A</v>
      </c>
      <c r="AT29" s="223" t="str">
        <f>IF(COUNT($M$26:$M$27)&lt;2,"",IF($M$26&gt;$M$27,"V",IF($M$26&lt;$M$27,"D","Empate??")))</f>
        <v/>
      </c>
      <c r="AU29" s="224" t="str">
        <f>IF(COUNT($M$26:$M$27)&lt;2,"",$M$26)</f>
        <v/>
      </c>
      <c r="AV29" s="225" t="str">
        <f>IF(COUNT($M$26:$M$27)&lt;2,"",$M$27)</f>
        <v/>
      </c>
      <c r="AW29" s="226" t="str">
        <f t="shared" si="3"/>
        <v/>
      </c>
      <c r="AX29" s="225" t="str">
        <f>IF(COUNT($M$26:$M$27)&lt;2,"",SUM($N$26:$P$26))</f>
        <v/>
      </c>
      <c r="AY29" s="227" t="str">
        <f>IF(COUNT($M$26:$M$27)&lt;2,"",SUM($N$27:$P$27))</f>
        <v/>
      </c>
      <c r="AZ29" s="228" t="str">
        <f t="shared" si="2"/>
        <v/>
      </c>
    </row>
    <row r="30" spans="2:52" ht="15.75" hidden="1" customHeight="1" thickBot="1">
      <c r="B30" s="126"/>
      <c r="C30" s="317" t="str">
        <f>IF(D12="","1º do grupo A",D12)</f>
        <v>1º do grupo A</v>
      </c>
      <c r="D30" s="318"/>
      <c r="E30" s="69"/>
      <c r="F30" s="69"/>
      <c r="G30" s="70"/>
      <c r="H30" s="35" t="str">
        <f>IF(COUNT(E30:G30)&lt;1,"",IF(SUM(IF(E30&gt;E32,1,0),IF(F30&gt;F32,1,0),IF(G30&gt;G32,1,0))&gt;2,"??",SUM(IF(E30&gt;E32,1,0),IF(F30&gt;F32,1,0),IF(G30&gt;G32,1,0))))</f>
        <v/>
      </c>
      <c r="I30" s="36"/>
      <c r="J30" s="40"/>
      <c r="K30" s="55"/>
      <c r="L30" s="55"/>
      <c r="M30" s="55"/>
      <c r="N30" s="55"/>
      <c r="O30" s="55"/>
      <c r="P30" s="55"/>
      <c r="Q30" s="40"/>
      <c r="R30" s="55"/>
      <c r="S30" s="55"/>
      <c r="T30" s="55"/>
      <c r="U30" s="55"/>
      <c r="V30" s="55"/>
      <c r="W30" s="54"/>
      <c r="X30" s="68"/>
      <c r="Y30" s="340"/>
      <c r="Z30" s="341"/>
      <c r="AA30" s="341"/>
      <c r="AB30" s="341"/>
      <c r="AC30" s="341"/>
      <c r="AD30" s="342"/>
      <c r="AE30" s="113"/>
      <c r="AG30" s="385"/>
      <c r="AH30" s="385"/>
      <c r="AI30" s="385"/>
      <c r="AJ30" s="385"/>
      <c r="AN30" s="229">
        <f>IF($J26="","",$J26)</f>
        <v>20</v>
      </c>
      <c r="AO30" s="230" t="str">
        <f t="shared" si="4"/>
        <v>Grupo B</v>
      </c>
      <c r="AP30" s="354" t="str">
        <f>IF($K$27="","",$K$27)</f>
        <v>D Mackaaij/J Arez (Algarve)</v>
      </c>
      <c r="AQ30" s="355" t="str">
        <f t="shared" si="5"/>
        <v>Grupo A</v>
      </c>
      <c r="AR30" s="355" t="str">
        <f t="shared" si="5"/>
        <v>Grupo A</v>
      </c>
      <c r="AS30" s="356" t="str">
        <f t="shared" si="5"/>
        <v>Grupo A</v>
      </c>
      <c r="AT30" s="231" t="str">
        <f>IF(COUNT($M$26:$M$27)&lt;2,"",IF($M$26&lt;$M$27,"V",IF($M$26&gt;$M$27,"D","Empate??")))</f>
        <v/>
      </c>
      <c r="AU30" s="232" t="str">
        <f>IF(COUNT($M$26:$M$27)&lt;2,"",$M$27)</f>
        <v/>
      </c>
      <c r="AV30" s="233" t="str">
        <f>IF(COUNT($M$26:$M$27)&lt;2,"",$M$26)</f>
        <v/>
      </c>
      <c r="AW30" s="234" t="str">
        <f t="shared" si="3"/>
        <v/>
      </c>
      <c r="AX30" s="233" t="str">
        <f>IF(COUNT($M$26:$M$27)&lt;2,"",SUM($N$27:$P$27))</f>
        <v/>
      </c>
      <c r="AY30" s="235" t="str">
        <f>IF(COUNT($M$26:$M$27)&lt;2,"",SUM($N$26:$P$26))</f>
        <v/>
      </c>
      <c r="AZ30" s="236" t="str">
        <f t="shared" si="2"/>
        <v/>
      </c>
    </row>
    <row r="31" spans="2:52" ht="15.75" hidden="1" customHeight="1">
      <c r="B31" s="126"/>
      <c r="C31" s="68"/>
      <c r="D31" s="37"/>
      <c r="E31" s="41"/>
      <c r="F31" s="41"/>
      <c r="G31" s="62"/>
      <c r="H31" s="64">
        <v>25</v>
      </c>
      <c r="I31" s="386" t="str">
        <f>IF(OR(H30="",H32="")=TRUE,"1ª Meia Final-Jogador1",IF(H30&gt;H32,C30,C32))</f>
        <v>1ª Meia Final-Jogador1</v>
      </c>
      <c r="J31" s="387"/>
      <c r="K31" s="388"/>
      <c r="L31" s="69"/>
      <c r="M31" s="69"/>
      <c r="N31" s="70"/>
      <c r="O31" s="38" t="str">
        <f>IF(COUNT(L31:N31)&lt;1,"",IF(SUM(IF(L31&gt;L35,1,0),IF(M31&gt;M35,1,0),IF(N31&gt;N35,1,0))&gt;2,"??",SUM(IF(L31&gt;L35,1,0),IF(M31&gt;M35,1,0),IF(N31&gt;N35,1,0))))</f>
        <v/>
      </c>
      <c r="P31" s="55"/>
      <c r="Q31" s="40"/>
      <c r="R31" s="55"/>
      <c r="S31" s="55"/>
      <c r="T31" s="55"/>
      <c r="U31" s="55"/>
      <c r="V31" s="55"/>
      <c r="W31" s="54"/>
      <c r="X31" s="68"/>
      <c r="Y31" s="389" t="str">
        <f>IF(X37="1º Classificado","",X37)</f>
        <v/>
      </c>
      <c r="Z31" s="390"/>
      <c r="AA31" s="390"/>
      <c r="AB31" s="390"/>
      <c r="AC31" s="390"/>
      <c r="AD31" s="39" t="s">
        <v>1</v>
      </c>
      <c r="AE31" s="113"/>
      <c r="AG31" s="385"/>
      <c r="AH31" s="385"/>
      <c r="AI31" s="385"/>
      <c r="AJ31" s="385"/>
      <c r="AN31" s="173">
        <f>IF($Q16="","",$Q16)</f>
        <v>5</v>
      </c>
      <c r="AO31" s="174" t="str">
        <f>IF($Q$5="","",$Q$5)</f>
        <v>Grupo C</v>
      </c>
      <c r="AP31" s="376" t="str">
        <f>IF($R$16="","",$R$16)</f>
        <v>A Ferreira/P Nunes (Centro)</v>
      </c>
      <c r="AQ31" s="377" t="str">
        <f t="shared" si="5"/>
        <v>Grupo A</v>
      </c>
      <c r="AR31" s="377" t="str">
        <f t="shared" si="5"/>
        <v>Grupo A</v>
      </c>
      <c r="AS31" s="378" t="str">
        <f t="shared" si="5"/>
        <v>Grupo A</v>
      </c>
      <c r="AT31" s="176" t="str">
        <f>IF(COUNT($T$16:$T$17)&lt;2,"",IF($T$16&gt;$T$17,"V",IF($T$16&lt;$T$17,"D","Empate??")))</f>
        <v/>
      </c>
      <c r="AU31" s="177" t="str">
        <f>IF(COUNT($T$16:$T$17)&lt;2,"",$T$16)</f>
        <v/>
      </c>
      <c r="AV31" s="178" t="str">
        <f>IF(COUNT($T$16:$T$17)&lt;2,"",$T$17)</f>
        <v/>
      </c>
      <c r="AW31" s="179" t="str">
        <f t="shared" si="3"/>
        <v/>
      </c>
      <c r="AX31" s="178" t="str">
        <f>IF(COUNT($T$16:$T$17)&lt;2,"",SUM($U$16:$W$16))</f>
        <v/>
      </c>
      <c r="AY31" s="180" t="str">
        <f>IF(COUNT($T$16:$T$17)&lt;2,"",SUM($U$17:$W$17))</f>
        <v/>
      </c>
      <c r="AZ31" s="181" t="str">
        <f t="shared" si="2"/>
        <v/>
      </c>
    </row>
    <row r="32" spans="2:52" ht="15.75" hidden="1" customHeight="1">
      <c r="B32" s="126"/>
      <c r="C32" s="317" t="str">
        <f>IF(K13="","2º do grupo B",K13)</f>
        <v>2º do grupo B</v>
      </c>
      <c r="D32" s="318"/>
      <c r="E32" s="69"/>
      <c r="F32" s="69"/>
      <c r="G32" s="70"/>
      <c r="H32" s="35" t="str">
        <f>IF(COUNT(E32:G32)&lt;1,"",IF(SUM(IF(E30&lt;E32,1,0),IF(F30&lt;F32,1,0),IF(G30&lt;G32,1,0))&gt;2,"??",SUM(IF(E30&lt;E32,1,0),IF(F30&lt;F32,1,0),IF(G30&lt;G32,1,0))))</f>
        <v/>
      </c>
      <c r="I32" s="36"/>
      <c r="J32" s="40"/>
      <c r="K32" s="59"/>
      <c r="L32" s="55"/>
      <c r="M32" s="41"/>
      <c r="N32" s="41"/>
      <c r="O32" s="42"/>
      <c r="P32" s="36"/>
      <c r="Q32" s="40"/>
      <c r="R32" s="55"/>
      <c r="S32" s="55"/>
      <c r="T32" s="55"/>
      <c r="U32" s="55"/>
      <c r="V32" s="60"/>
      <c r="W32" s="53"/>
      <c r="X32" s="48"/>
      <c r="Y32" s="379" t="str">
        <f>IF(Y31="","",IF(Y31=P33,P41,P33))</f>
        <v/>
      </c>
      <c r="Z32" s="380" t="e">
        <f>IF(#REF!="","",IF(#REF!=W32,"","(2º) "))</f>
        <v>#REF!</v>
      </c>
      <c r="AA32" s="380" t="e">
        <f>IF(#REF!="","",IF(#REF!=X32,"","(2º) "))</f>
        <v>#REF!</v>
      </c>
      <c r="AB32" s="380" t="e">
        <f>IF(#REF!="","",IF(#REF!=Y32,"","(2º) "))</f>
        <v>#REF!</v>
      </c>
      <c r="AC32" s="380" t="e">
        <f>IF(#REF!="","",IF(#REF!=Z32,"","(2º) "))</f>
        <v>#REF!</v>
      </c>
      <c r="AD32" s="43" t="s">
        <v>2</v>
      </c>
      <c r="AE32" s="113"/>
      <c r="AN32" s="182">
        <f>IF($Q16="","",$Q16)</f>
        <v>5</v>
      </c>
      <c r="AO32" s="171" t="str">
        <f t="shared" ref="AO32:AO42" si="6">IF($Q$5="","",$Q$5)</f>
        <v>Grupo C</v>
      </c>
      <c r="AP32" s="367" t="str">
        <f>IF($R$17="","",$R$17)</f>
        <v/>
      </c>
      <c r="AQ32" s="368" t="str">
        <f t="shared" si="5"/>
        <v>Grupo A</v>
      </c>
      <c r="AR32" s="368" t="str">
        <f t="shared" si="5"/>
        <v>Grupo A</v>
      </c>
      <c r="AS32" s="369" t="str">
        <f t="shared" si="5"/>
        <v>Grupo A</v>
      </c>
      <c r="AT32" s="183" t="str">
        <f>IF(COUNT($T$16:$T$17)&lt;2,"",IF($T$16&lt;$T$17,"V",IF($T$16&gt;$T$17,"D","Empate??")))</f>
        <v/>
      </c>
      <c r="AU32" s="184" t="str">
        <f>IF(COUNT($T$16:$T$17)&lt;2,"",$T$17)</f>
        <v/>
      </c>
      <c r="AV32" s="185" t="str">
        <f>IF(COUNT($T$16:$T$17)&lt;2,"",$T$16)</f>
        <v/>
      </c>
      <c r="AW32" s="186" t="str">
        <f t="shared" si="3"/>
        <v/>
      </c>
      <c r="AX32" s="185" t="str">
        <f>IF(COUNT($T$16:$T$17)&lt;2,"",SUM($U$17:$W$17))</f>
        <v/>
      </c>
      <c r="AY32" s="187" t="str">
        <f>IF(COUNT($T$16:$T$17)&lt;2,"",SUM($U$16:$W$16))</f>
        <v/>
      </c>
      <c r="AZ32" s="188" t="str">
        <f t="shared" si="2"/>
        <v/>
      </c>
    </row>
    <row r="33" spans="2:52" ht="15.75" hidden="1" customHeight="1">
      <c r="B33" s="126"/>
      <c r="C33" s="68"/>
      <c r="D33" s="37"/>
      <c r="E33" s="55"/>
      <c r="F33" s="42"/>
      <c r="G33" s="44"/>
      <c r="H33" s="44"/>
      <c r="I33" s="55"/>
      <c r="J33" s="40"/>
      <c r="K33" s="59"/>
      <c r="L33" s="55"/>
      <c r="M33" s="42"/>
      <c r="N33" s="42"/>
      <c r="O33" s="64">
        <v>29</v>
      </c>
      <c r="P33" s="322" t="str">
        <f>IF(OR(O31="",O35="")=TRUE,"Final-Jogador1",IF(O31&gt;O35,I31,I35))</f>
        <v>Final-Jogador1</v>
      </c>
      <c r="Q33" s="317"/>
      <c r="R33" s="317"/>
      <c r="S33" s="318"/>
      <c r="T33" s="69"/>
      <c r="U33" s="69"/>
      <c r="V33" s="69"/>
      <c r="W33" s="45" t="str">
        <f>IF(COUNT(T33:V33)&lt;1,"",IF(SUM(IF(T33&gt;T41,1,0),IF(U33&gt;U41,1,0),IF(V33&gt;V41,1,0))&gt;2,"??",SUM(IF(T33&gt;T41,1,0),IF(U33&gt;U41,1,0),IF(V33&gt;V41,1,0))))</f>
        <v/>
      </c>
      <c r="X33" s="48"/>
      <c r="Y33" s="381" t="str">
        <f>IF(P37="3º Classificado","",P37)</f>
        <v/>
      </c>
      <c r="Z33" s="382"/>
      <c r="AA33" s="382"/>
      <c r="AB33" s="382"/>
      <c r="AC33" s="382"/>
      <c r="AD33" s="166" t="s">
        <v>3</v>
      </c>
      <c r="AE33" s="113"/>
      <c r="AN33" s="189">
        <f>IF($Q18="","",$Q18)</f>
        <v>6</v>
      </c>
      <c r="AO33" s="172" t="str">
        <f t="shared" si="6"/>
        <v>Grupo C</v>
      </c>
      <c r="AP33" s="364" t="str">
        <f>IF($R$18="","",$R$18)</f>
        <v>V Murteira/V Vicente (Lisboa)</v>
      </c>
      <c r="AQ33" s="365" t="str">
        <f t="shared" si="5"/>
        <v>Grupo A</v>
      </c>
      <c r="AR33" s="365" t="str">
        <f t="shared" si="5"/>
        <v>Grupo A</v>
      </c>
      <c r="AS33" s="366" t="str">
        <f t="shared" si="5"/>
        <v>Grupo A</v>
      </c>
      <c r="AT33" s="190" t="str">
        <f>IF(COUNT($T$18:$T$19)&lt;2,"",IF($T$18&gt;$T$19,"V",IF($T$18&lt;$T$19,"D","Empate??")))</f>
        <v/>
      </c>
      <c r="AU33" s="191" t="str">
        <f>IF(COUNT($T$18:$T$19)&lt;2,"",$T$18)</f>
        <v/>
      </c>
      <c r="AV33" s="192" t="str">
        <f>IF(COUNT($T$18:$T$19)&lt;2,"",$T$19)</f>
        <v/>
      </c>
      <c r="AW33" s="193" t="str">
        <f t="shared" si="3"/>
        <v/>
      </c>
      <c r="AX33" s="192" t="str">
        <f>IF(COUNT($T$18:$T$19)&lt;2,"",SUM($U$18:$W$18))</f>
        <v/>
      </c>
      <c r="AY33" s="194" t="str">
        <f>IF(COUNT($T$18:$T$19)&lt;2,"",SUM($U$19:$W$19))</f>
        <v/>
      </c>
      <c r="AZ33" s="195" t="str">
        <f t="shared" si="2"/>
        <v/>
      </c>
    </row>
    <row r="34" spans="2:52" ht="15.75" hidden="1" customHeight="1" thickBot="1">
      <c r="B34" s="126"/>
      <c r="C34" s="317" t="str">
        <f>IF(Y13="","2º do grupo D",Y13)</f>
        <v>2º do grupo D</v>
      </c>
      <c r="D34" s="318"/>
      <c r="E34" s="69"/>
      <c r="F34" s="69"/>
      <c r="G34" s="70"/>
      <c r="H34" s="35" t="str">
        <f>IF(COUNT(E34:G34)&lt;1,"",IF(SUM(IF(E34&gt;E36,1,0),IF(F34&gt;F36,1,0),IF(G34&gt;G36,1,0))&gt;2,"??",SUM(IF(E34&gt;E36,1,0),IF(F34&gt;F36,1,0),IF(G34&gt;G36,1,0))))</f>
        <v/>
      </c>
      <c r="I34" s="36"/>
      <c r="J34" s="40"/>
      <c r="K34" s="59"/>
      <c r="L34" s="55"/>
      <c r="M34" s="42"/>
      <c r="N34" s="42"/>
      <c r="O34" s="42"/>
      <c r="P34" s="36"/>
      <c r="Q34" s="40"/>
      <c r="R34" s="55"/>
      <c r="S34" s="46"/>
      <c r="T34" s="42"/>
      <c r="U34" s="42"/>
      <c r="V34" s="67"/>
      <c r="W34" s="47"/>
      <c r="X34" s="48"/>
      <c r="Y34" s="371" t="str">
        <f>IF(Y33="","",IF(Y33=P35,P39,P35))</f>
        <v/>
      </c>
      <c r="Z34" s="372" t="e">
        <f>IF(#REF!="","",IF(#REF!=W34,"","(2º) "))</f>
        <v>#REF!</v>
      </c>
      <c r="AA34" s="372" t="e">
        <f>IF(#REF!="","",IF(#REF!=X34,"","(2º) "))</f>
        <v>#REF!</v>
      </c>
      <c r="AB34" s="372" t="e">
        <f>IF(#REF!="","",IF(#REF!=Y34,"","(2º) "))</f>
        <v>#REF!</v>
      </c>
      <c r="AC34" s="372" t="e">
        <f>IF(#REF!="","",IF(#REF!=Z34,"","(2º) "))</f>
        <v>#REF!</v>
      </c>
      <c r="AD34" s="165" t="s">
        <v>4</v>
      </c>
      <c r="AE34" s="113"/>
      <c r="AN34" s="182">
        <f>IF($Q18="","",$Q18)</f>
        <v>6</v>
      </c>
      <c r="AO34" s="171" t="str">
        <f t="shared" si="6"/>
        <v>Grupo C</v>
      </c>
      <c r="AP34" s="367" t="str">
        <f>IF($R$19="","",$R$19)</f>
        <v/>
      </c>
      <c r="AQ34" s="368" t="str">
        <f t="shared" si="5"/>
        <v>Grupo A</v>
      </c>
      <c r="AR34" s="368" t="str">
        <f t="shared" si="5"/>
        <v>Grupo A</v>
      </c>
      <c r="AS34" s="369" t="str">
        <f t="shared" si="5"/>
        <v>Grupo A</v>
      </c>
      <c r="AT34" s="183" t="str">
        <f>IF(COUNT($T$18:$T$19)&lt;2,"",IF($T$18&lt;$T$19,"V",IF($T$18&gt;$T$19,"D","Empate??")))</f>
        <v/>
      </c>
      <c r="AU34" s="184" t="str">
        <f>IF(COUNT($T$18:$T$19)&lt;2,"",$T$19)</f>
        <v/>
      </c>
      <c r="AV34" s="185" t="str">
        <f>IF(COUNT($T$18:$T$19)&lt;2,"",$T$18)</f>
        <v/>
      </c>
      <c r="AW34" s="186" t="str">
        <f t="shared" si="3"/>
        <v/>
      </c>
      <c r="AX34" s="185" t="str">
        <f>IF(COUNT($T$18:$T$19)&lt;2,"",SUM($U$19:$W$19))</f>
        <v/>
      </c>
      <c r="AY34" s="187" t="str">
        <f>IF(COUNT($T$18:$T$19)&lt;2,"",SUM($U$18:$W$18))</f>
        <v/>
      </c>
      <c r="AZ34" s="188" t="str">
        <f t="shared" si="2"/>
        <v/>
      </c>
    </row>
    <row r="35" spans="2:52" ht="15.75" hidden="1" customHeight="1">
      <c r="B35" s="126"/>
      <c r="C35" s="68"/>
      <c r="D35" s="37"/>
      <c r="E35" s="55"/>
      <c r="F35" s="42"/>
      <c r="G35" s="44"/>
      <c r="H35" s="63">
        <v>26</v>
      </c>
      <c r="I35" s="322" t="str">
        <f>IF(OR(H34="",H36="")=TRUE,"1ª Meia Final-Jogador2",IF(H34&gt;H36,C34,C36))</f>
        <v>1ª Meia Final-Jogador2</v>
      </c>
      <c r="J35" s="317"/>
      <c r="K35" s="318"/>
      <c r="L35" s="69"/>
      <c r="M35" s="69"/>
      <c r="N35" s="70"/>
      <c r="O35" s="38" t="str">
        <f>IF(COUNT(L35:N35)&lt;1,"",IF(SUM(IF(L31&lt;L35,1,0),IF(M31&lt;M35,1,0),IF(N31&lt;N35,1,0))&gt;2,"??",SUM(IF(L31&lt;L35,1,0),IF(M31&lt;M35,1,0),IF(N31&lt;N35,1,0))))</f>
        <v/>
      </c>
      <c r="P35" s="319" t="str">
        <f>IF(P33="Final-Jogador1","Disputa 3º/4º  Jogador1",IF(P33=I31,I35,I31))</f>
        <v>Disputa 3º/4º  Jogador1</v>
      </c>
      <c r="Q35" s="320"/>
      <c r="R35" s="321"/>
      <c r="S35" s="69"/>
      <c r="T35" s="69"/>
      <c r="U35" s="69"/>
      <c r="V35" s="49" t="str">
        <f>IF(COUNT(S35:U35)&lt;1,"",IF(SUM(IF(S35&gt;S39,1,0),IF(T35&gt;T39,1,0),IF(U35&gt;U39,1,0))&gt;2,"??",SUM(IF(S35&gt;S39,1,0),IF(T35&gt;T39,1,0),IF(U35&gt;U39,1,0))))</f>
        <v/>
      </c>
      <c r="W35" s="50"/>
      <c r="X35" s="48"/>
      <c r="Y35" s="53"/>
      <c r="Z35" s="53"/>
      <c r="AA35" s="53"/>
      <c r="AB35" s="53"/>
      <c r="AC35" s="53"/>
      <c r="AD35" s="54"/>
      <c r="AE35" s="113"/>
      <c r="AN35" s="189">
        <f>IF($Q20="","",$Q20)</f>
        <v>13</v>
      </c>
      <c r="AO35" s="172" t="str">
        <f t="shared" si="6"/>
        <v>Grupo C</v>
      </c>
      <c r="AP35" s="364" t="str">
        <f>IF($R$20="","",$R$20)</f>
        <v/>
      </c>
      <c r="AQ35" s="365" t="str">
        <f t="shared" si="5"/>
        <v>Grupo A</v>
      </c>
      <c r="AR35" s="365" t="str">
        <f t="shared" si="5"/>
        <v>Grupo A</v>
      </c>
      <c r="AS35" s="366" t="str">
        <f t="shared" si="5"/>
        <v>Grupo A</v>
      </c>
      <c r="AT35" s="190" t="str">
        <f>IF(COUNT($T$20:$T$21)&lt;2,"",IF($T$20&gt;$T$21,"V",IF($T$20&lt;$T$21,"D","Empate??")))</f>
        <v/>
      </c>
      <c r="AU35" s="191" t="str">
        <f>IF(COUNT($T$20:$T$21)&lt;2,"",$T$20)</f>
        <v/>
      </c>
      <c r="AV35" s="192" t="str">
        <f>IF(COUNT($T$20:$T$21)&lt;2,"",$T$21)</f>
        <v/>
      </c>
      <c r="AW35" s="193" t="str">
        <f t="shared" si="3"/>
        <v/>
      </c>
      <c r="AX35" s="192" t="str">
        <f>IF(COUNT($T$20:$T$21)&lt;2,"",SUM($U$20:$W$20))</f>
        <v/>
      </c>
      <c r="AY35" s="194" t="str">
        <f>IF(COUNT($T$20:$T$21)&lt;2,"",SUM($U$21:$W$21))</f>
        <v/>
      </c>
      <c r="AZ35" s="195" t="str">
        <f t="shared" si="2"/>
        <v/>
      </c>
    </row>
    <row r="36" spans="2:52" ht="15.75" hidden="1" customHeight="1">
      <c r="B36" s="126"/>
      <c r="C36" s="317" t="str">
        <f>IF(R12="","1º do grupo C",R12)</f>
        <v>1º do grupo C</v>
      </c>
      <c r="D36" s="318"/>
      <c r="E36" s="69"/>
      <c r="F36" s="69"/>
      <c r="G36" s="70"/>
      <c r="H36" s="35" t="str">
        <f>IF(COUNT(E36:G36)&lt;1,"",IF(SUM(IF(E34&lt;E36,1,0),IF(F34&lt;F36,1,0),IF(G34&lt;G36,1,0))&gt;2,"??",SUM(IF(E34&lt;E36,1,0),IF(F34&lt;F36,1,0),IF(G34&lt;G36,1,0))))</f>
        <v/>
      </c>
      <c r="I36" s="36"/>
      <c r="J36" s="40"/>
      <c r="K36" s="59"/>
      <c r="L36" s="46"/>
      <c r="M36" s="42"/>
      <c r="N36" s="42"/>
      <c r="O36" s="42"/>
      <c r="P36" s="55"/>
      <c r="Q36" s="51"/>
      <c r="R36" s="46"/>
      <c r="S36" s="46"/>
      <c r="T36" s="41"/>
      <c r="U36" s="41"/>
      <c r="V36" s="52"/>
      <c r="W36" s="50"/>
      <c r="X36" s="48"/>
      <c r="Y36" s="53"/>
      <c r="Z36" s="53"/>
      <c r="AA36" s="53"/>
      <c r="AB36" s="53"/>
      <c r="AC36" s="53"/>
      <c r="AD36" s="54"/>
      <c r="AE36" s="113"/>
      <c r="AN36" s="182">
        <f>IF($Q20="","",$Q20)</f>
        <v>13</v>
      </c>
      <c r="AO36" s="171" t="str">
        <f t="shared" si="6"/>
        <v>Grupo C</v>
      </c>
      <c r="AP36" s="367" t="str">
        <f>IF($R$21="","",$R$21)</f>
        <v/>
      </c>
      <c r="AQ36" s="368" t="str">
        <f t="shared" si="5"/>
        <v>Grupo A</v>
      </c>
      <c r="AR36" s="368" t="str">
        <f t="shared" si="5"/>
        <v>Grupo A</v>
      </c>
      <c r="AS36" s="369" t="str">
        <f t="shared" si="5"/>
        <v>Grupo A</v>
      </c>
      <c r="AT36" s="183" t="str">
        <f>IF(COUNT($T$20:$T$21)&lt;2,"",IF($T$20&lt;$T$21,"V",IF($T$20&gt;$T$21,"D","Empate??")))</f>
        <v/>
      </c>
      <c r="AU36" s="184" t="str">
        <f>IF(COUNT($T$20:$T$21)&lt;2,"",$T$21)</f>
        <v/>
      </c>
      <c r="AV36" s="185" t="str">
        <f>IF(COUNT($T$20:$T$21)&lt;2,"",$T$20)</f>
        <v/>
      </c>
      <c r="AW36" s="186" t="str">
        <f t="shared" si="3"/>
        <v/>
      </c>
      <c r="AX36" s="185" t="str">
        <f>IF(COUNT($T$20:$T$21)&lt;2,"",SUM($U$21:$W$21))</f>
        <v/>
      </c>
      <c r="AY36" s="187" t="str">
        <f>IF(COUNT($T$20:$T$21)&lt;2,"",SUM($U$20:$W$20))</f>
        <v/>
      </c>
      <c r="AZ36" s="188" t="str">
        <f t="shared" si="2"/>
        <v/>
      </c>
    </row>
    <row r="37" spans="2:52" ht="27" hidden="1" customHeight="1">
      <c r="B37" s="126"/>
      <c r="C37" s="127" t="s">
        <v>72</v>
      </c>
      <c r="D37" s="71"/>
      <c r="E37" s="118"/>
      <c r="F37" s="118"/>
      <c r="G37" s="119"/>
      <c r="H37" s="120"/>
      <c r="I37" s="55"/>
      <c r="J37" s="40"/>
      <c r="K37" s="59"/>
      <c r="L37" s="55"/>
      <c r="M37" s="42"/>
      <c r="N37" s="42"/>
      <c r="O37" s="42"/>
      <c r="P37" s="328" t="str">
        <f>IF(OR(V35="",V39="")=TRUE,"3º Classificado",IF(V35&gt;V39,P35,P39))</f>
        <v>3º Classificado</v>
      </c>
      <c r="Q37" s="328"/>
      <c r="R37" s="328"/>
      <c r="S37" s="328"/>
      <c r="T37" s="328"/>
      <c r="U37" s="328"/>
      <c r="V37" s="65">
        <v>31</v>
      </c>
      <c r="W37" s="66">
        <v>32</v>
      </c>
      <c r="X37" s="329" t="str">
        <f>IF(OR(W33="",W41="")=TRUE,"1º Classificado",IF(W33&gt;W41,P33,P41))</f>
        <v>1º Classificado</v>
      </c>
      <c r="Y37" s="330"/>
      <c r="Z37" s="330"/>
      <c r="AA37" s="330"/>
      <c r="AB37" s="330"/>
      <c r="AC37" s="330"/>
      <c r="AD37" s="54"/>
      <c r="AE37" s="113"/>
      <c r="AN37" s="189">
        <f>IF($Q22="","",$Q22)</f>
        <v>14</v>
      </c>
      <c r="AO37" s="172" t="str">
        <f t="shared" si="6"/>
        <v>Grupo C</v>
      </c>
      <c r="AP37" s="364" t="str">
        <f>IF($R$22="","",$R$22)</f>
        <v>A Ferreira/P Nunes (Centro)</v>
      </c>
      <c r="AQ37" s="365" t="str">
        <f t="shared" si="5"/>
        <v>Grupo A</v>
      </c>
      <c r="AR37" s="365" t="str">
        <f t="shared" si="5"/>
        <v>Grupo A</v>
      </c>
      <c r="AS37" s="366" t="str">
        <f t="shared" si="5"/>
        <v>Grupo A</v>
      </c>
      <c r="AT37" s="190" t="str">
        <f>IF(COUNT($T$22:$T$23)&lt;2,"",IF($T$22&gt;$T$23,"V",IF($T$22&lt;$T$23,"D","Empate??")))</f>
        <v/>
      </c>
      <c r="AU37" s="191" t="str">
        <f>IF(COUNT($T$22:$T$23)&lt;2,"",$T$22)</f>
        <v/>
      </c>
      <c r="AV37" s="192" t="str">
        <f>IF(COUNT($T$22:$T$23)&lt;2,"",$T$23)</f>
        <v/>
      </c>
      <c r="AW37" s="193" t="str">
        <f t="shared" si="3"/>
        <v/>
      </c>
      <c r="AX37" s="192" t="str">
        <f>IF(COUNT($T$22:$T$23)&lt;2,"",SUM($U$22:$W$22))</f>
        <v/>
      </c>
      <c r="AY37" s="194" t="str">
        <f>IF(COUNT($T$22:$T$23)&lt;2,"",SUM($U$23:$W$23))</f>
        <v/>
      </c>
      <c r="AZ37" s="195" t="str">
        <f t="shared" si="2"/>
        <v/>
      </c>
    </row>
    <row r="38" spans="2:52" ht="15.75" hidden="1" customHeight="1">
      <c r="B38" s="126"/>
      <c r="C38" s="317" t="str">
        <f>IF(K12="","1º do grupo B",K12)</f>
        <v>1º do grupo B</v>
      </c>
      <c r="D38" s="318"/>
      <c r="E38" s="69"/>
      <c r="F38" s="69"/>
      <c r="G38" s="70"/>
      <c r="H38" s="35" t="str">
        <f>IF(COUNT(E38:G38)&lt;1,"",IF(SUM(IF(E38&gt;E40,1,0),IF(F38&gt;F40,1,0),IF(G38&gt;G40,1,0))&gt;2,"??",SUM(IF(E38&gt;E40,1,0),IF(F38&gt;F40,1,0),IF(G38&gt;G40,1,0))))</f>
        <v/>
      </c>
      <c r="I38" s="36"/>
      <c r="J38" s="40"/>
      <c r="K38" s="59"/>
      <c r="L38" s="55"/>
      <c r="M38" s="42"/>
      <c r="N38" s="42"/>
      <c r="O38" s="42"/>
      <c r="P38" s="55"/>
      <c r="Q38" s="40"/>
      <c r="R38" s="55"/>
      <c r="S38" s="55"/>
      <c r="T38" s="42"/>
      <c r="U38" s="42"/>
      <c r="V38" s="56"/>
      <c r="W38" s="50"/>
      <c r="X38" s="48"/>
      <c r="Y38" s="370" t="s">
        <v>5</v>
      </c>
      <c r="Z38" s="370"/>
      <c r="AA38" s="370"/>
      <c r="AB38" s="370"/>
      <c r="AC38" s="370"/>
      <c r="AD38" s="54"/>
      <c r="AE38" s="113"/>
      <c r="AN38" s="182">
        <f>IF($Q22="","",$Q22)</f>
        <v>14</v>
      </c>
      <c r="AO38" s="171" t="str">
        <f t="shared" si="6"/>
        <v>Grupo C</v>
      </c>
      <c r="AP38" s="367" t="str">
        <f>IF($R$23="","",$R$23)</f>
        <v>V Murteira/V Vicente (Lisboa)</v>
      </c>
      <c r="AQ38" s="368" t="str">
        <f t="shared" si="5"/>
        <v>Grupo A</v>
      </c>
      <c r="AR38" s="368" t="str">
        <f t="shared" si="5"/>
        <v>Grupo A</v>
      </c>
      <c r="AS38" s="369" t="str">
        <f t="shared" si="5"/>
        <v>Grupo A</v>
      </c>
      <c r="AT38" s="183" t="str">
        <f>IF(COUNT($T$22:$T$23)&lt;2,"",IF($T$22&lt;$T$23,"V",IF($T$22&gt;$T$23,"D","Empate??")))</f>
        <v/>
      </c>
      <c r="AU38" s="184" t="str">
        <f>IF(COUNT($T$22:$T$23)&lt;2,"",$T$23)</f>
        <v/>
      </c>
      <c r="AV38" s="185" t="str">
        <f>IF(COUNT($T$22:$T$23)&lt;2,"",$T$22)</f>
        <v/>
      </c>
      <c r="AW38" s="186" t="str">
        <f t="shared" si="3"/>
        <v/>
      </c>
      <c r="AX38" s="185" t="str">
        <f>IF(COUNT($T$22:$T$23)&lt;2,"",SUM($U$23:$W$23))</f>
        <v/>
      </c>
      <c r="AY38" s="187" t="str">
        <f>IF(COUNT($T$22:$T$23)&lt;2,"",SUM($U$22:$W$22))</f>
        <v/>
      </c>
      <c r="AZ38" s="188" t="str">
        <f t="shared" si="2"/>
        <v/>
      </c>
    </row>
    <row r="39" spans="2:52" ht="15.75" hidden="1" customHeight="1">
      <c r="B39" s="126"/>
      <c r="C39" s="68"/>
      <c r="D39" s="37"/>
      <c r="E39" s="55"/>
      <c r="F39" s="41"/>
      <c r="G39" s="44"/>
      <c r="H39" s="63">
        <v>27</v>
      </c>
      <c r="I39" s="322" t="str">
        <f>IF(OR(H38="",H40="")=TRUE,"2ª Meia Final-Jogador1",IF(H38&gt;H40,C38,C40))</f>
        <v>2ª Meia Final-Jogador1</v>
      </c>
      <c r="J39" s="317"/>
      <c r="K39" s="318"/>
      <c r="L39" s="69"/>
      <c r="M39" s="69"/>
      <c r="N39" s="70"/>
      <c r="O39" s="38" t="str">
        <f>IF(COUNT(L39:N39)&lt;1,"",IF(SUM(IF(L39&gt;L43,1,0),IF(M39&gt;M43,1,0),IF(N39&gt;N43,1,0))&gt;2,"??",SUM(IF(L39&gt;L43,1,0),IF(M39&gt;M43,1,0),IF(N39&gt;N43,1,0))))</f>
        <v/>
      </c>
      <c r="P39" s="319" t="str">
        <f>IF(P41="Final-Jogador2","Disputa 3º/4º  Jogador2",IF(P41=I39,I43,I39))</f>
        <v>Disputa 3º/4º  Jogador2</v>
      </c>
      <c r="Q39" s="320"/>
      <c r="R39" s="321"/>
      <c r="S39" s="69"/>
      <c r="T39" s="69"/>
      <c r="U39" s="69"/>
      <c r="V39" s="49" t="str">
        <f>IF(COUNT(S39:U39)&lt;1,"",IF(SUM(IF(S35&lt;S39,1,0),IF(T35&lt;T39,1,0),IF(U35&lt;U39,1,0))&gt;2,"??",SUM(IF(S35&lt;S39,1,0),IF(T35&lt;T39,1,0),IF(U35&lt;U39,1,0))))</f>
        <v/>
      </c>
      <c r="W39" s="50"/>
      <c r="X39" s="48"/>
      <c r="Y39" s="53"/>
      <c r="Z39" s="53"/>
      <c r="AA39" s="53"/>
      <c r="AB39" s="57"/>
      <c r="AC39" s="57"/>
      <c r="AD39" s="58"/>
      <c r="AE39" s="113"/>
      <c r="AN39" s="189">
        <f>IF($Q24="","",$Q24)</f>
        <v>21</v>
      </c>
      <c r="AO39" s="172" t="str">
        <f t="shared" si="6"/>
        <v>Grupo C</v>
      </c>
      <c r="AP39" s="364" t="str">
        <f>IF($R$24="","",$R$24)</f>
        <v>V Murteira/V Vicente (Lisboa)</v>
      </c>
      <c r="AQ39" s="365" t="str">
        <f t="shared" ref="AQ39:AS54" si="7">IF($C$5="","",$C$5)</f>
        <v>Grupo A</v>
      </c>
      <c r="AR39" s="365" t="str">
        <f t="shared" si="7"/>
        <v>Grupo A</v>
      </c>
      <c r="AS39" s="366" t="str">
        <f t="shared" si="7"/>
        <v>Grupo A</v>
      </c>
      <c r="AT39" s="190" t="str">
        <f>IF(COUNT($T$24:$T$25)&lt;2,"",IF($T$24&gt;$T$25,"V",IF($T$24&lt;$T$25,"D","Empate??")))</f>
        <v/>
      </c>
      <c r="AU39" s="191" t="str">
        <f>IF(COUNT($T$24:$T$25)&lt;2,"",$T$24)</f>
        <v/>
      </c>
      <c r="AV39" s="192" t="str">
        <f>IF(COUNT($T$24:$T$25)&lt;2,"",$T$25)</f>
        <v/>
      </c>
      <c r="AW39" s="193" t="str">
        <f t="shared" si="3"/>
        <v/>
      </c>
      <c r="AX39" s="192" t="str">
        <f>IF(COUNT($T$24:$T$25)&lt;2,"",SUM($U$24:$W$24))</f>
        <v/>
      </c>
      <c r="AY39" s="194" t="str">
        <f>IF(COUNT($T$24:$T$25)&lt;2,"",SUM($U$25:$W$25))</f>
        <v/>
      </c>
      <c r="AZ39" s="195" t="str">
        <f t="shared" si="2"/>
        <v/>
      </c>
    </row>
    <row r="40" spans="2:52" ht="15.75" hidden="1" customHeight="1">
      <c r="B40" s="126"/>
      <c r="C40" s="317" t="str">
        <f>IF(D13="","2º do grupo A",D13)</f>
        <v>2º do grupo A</v>
      </c>
      <c r="D40" s="318"/>
      <c r="E40" s="69"/>
      <c r="F40" s="69"/>
      <c r="G40" s="70"/>
      <c r="H40" s="35" t="str">
        <f>IF(COUNT(E40:G40)&lt;1,"",IF(SUM(IF(E38&lt;E40,1,0),IF(F38&lt;F40,1,0),IF(G38&lt;G40,1,0))&gt;2,"??",SUM(IF(E38&lt;E40,1,0),IF(F38&lt;F40,1,0),IF(G38&lt;G40,1,0))))</f>
        <v/>
      </c>
      <c r="I40" s="36"/>
      <c r="J40" s="40"/>
      <c r="K40" s="59"/>
      <c r="L40" s="55"/>
      <c r="M40" s="41"/>
      <c r="N40" s="41"/>
      <c r="O40" s="42"/>
      <c r="P40" s="36"/>
      <c r="Q40" s="51"/>
      <c r="R40" s="46"/>
      <c r="S40" s="55"/>
      <c r="T40" s="42"/>
      <c r="U40" s="42"/>
      <c r="V40" s="67"/>
      <c r="W40" s="50"/>
      <c r="X40" s="48"/>
      <c r="Y40" s="53"/>
      <c r="Z40" s="53"/>
      <c r="AA40" s="53"/>
      <c r="AB40" s="53"/>
      <c r="AC40" s="53"/>
      <c r="AD40" s="54"/>
      <c r="AE40" s="113"/>
      <c r="AN40" s="182">
        <f>IF($Q24="","",$Q24)</f>
        <v>21</v>
      </c>
      <c r="AO40" s="171" t="str">
        <f t="shared" si="6"/>
        <v>Grupo C</v>
      </c>
      <c r="AP40" s="367" t="str">
        <f>IF($R$25="","",$R$25)</f>
        <v/>
      </c>
      <c r="AQ40" s="368" t="str">
        <f t="shared" si="7"/>
        <v>Grupo A</v>
      </c>
      <c r="AR40" s="368" t="str">
        <f t="shared" si="7"/>
        <v>Grupo A</v>
      </c>
      <c r="AS40" s="369" t="str">
        <f t="shared" si="7"/>
        <v>Grupo A</v>
      </c>
      <c r="AT40" s="183" t="str">
        <f>IF(COUNT($T$24:$T$25)&lt;2,"",IF($T$24&lt;$T$25,"V",IF($T$24&gt;$T$25,"D","Empate??")))</f>
        <v/>
      </c>
      <c r="AU40" s="184" t="str">
        <f>IF(COUNT($T$24:$T$25)&lt;2,"",$T$25)</f>
        <v/>
      </c>
      <c r="AV40" s="185" t="str">
        <f>IF(COUNT($T$24:$T$25)&lt;2,"",$T$24)</f>
        <v/>
      </c>
      <c r="AW40" s="186" t="str">
        <f t="shared" si="3"/>
        <v/>
      </c>
      <c r="AX40" s="185" t="str">
        <f>IF(COUNT($T$24:$T$25)&lt;2,"",SUM($U$25:$W$25))</f>
        <v/>
      </c>
      <c r="AY40" s="187" t="str">
        <f>IF(COUNT($T$24:$T$25)&lt;2,"",SUM($U$24:$W$24))</f>
        <v/>
      </c>
      <c r="AZ40" s="188" t="str">
        <f t="shared" si="2"/>
        <v/>
      </c>
    </row>
    <row r="41" spans="2:52" ht="15.75" hidden="1" customHeight="1">
      <c r="B41" s="126"/>
      <c r="C41" s="68"/>
      <c r="D41" s="37"/>
      <c r="E41" s="55"/>
      <c r="F41" s="42"/>
      <c r="G41" s="44"/>
      <c r="H41" s="121"/>
      <c r="I41" s="55"/>
      <c r="J41" s="40"/>
      <c r="K41" s="59"/>
      <c r="L41" s="55"/>
      <c r="M41" s="42"/>
      <c r="N41" s="42"/>
      <c r="O41" s="64">
        <v>30</v>
      </c>
      <c r="P41" s="322" t="str">
        <f>IF(OR(O39="",O43="")=TRUE,"Final-Jogador2",IF(O39&gt;O43,I39,I43))</f>
        <v>Final-Jogador2</v>
      </c>
      <c r="Q41" s="317"/>
      <c r="R41" s="317"/>
      <c r="S41" s="318"/>
      <c r="T41" s="69"/>
      <c r="U41" s="69"/>
      <c r="V41" s="69"/>
      <c r="W41" s="45" t="str">
        <f>IF(COUNT(T41:V41)&lt;1,"",IF(SUM(IF(T33&lt;T41,1,0),IF(U33&lt;U41,1,0),IF(V33&lt;V41,1,0))&gt;2,"??",SUM(IF(T33&lt;T41,1,0),IF(U33&lt;U41,1,0),IF(V33&lt;V41,1,0))))</f>
        <v/>
      </c>
      <c r="X41" s="48"/>
      <c r="Y41" s="53"/>
      <c r="Z41" s="53"/>
      <c r="AA41" s="53"/>
      <c r="AB41" s="53"/>
      <c r="AC41" s="53"/>
      <c r="AD41" s="54"/>
      <c r="AE41" s="113"/>
      <c r="AN41" s="189">
        <f>IF($Q26="","",$Q26)</f>
        <v>22</v>
      </c>
      <c r="AO41" s="172" t="str">
        <f t="shared" si="6"/>
        <v>Grupo C</v>
      </c>
      <c r="AP41" s="364" t="str">
        <f>IF($R$26="","",$R$26)</f>
        <v/>
      </c>
      <c r="AQ41" s="365" t="str">
        <f t="shared" si="7"/>
        <v>Grupo A</v>
      </c>
      <c r="AR41" s="365" t="str">
        <f t="shared" si="7"/>
        <v>Grupo A</v>
      </c>
      <c r="AS41" s="366" t="str">
        <f t="shared" si="7"/>
        <v>Grupo A</v>
      </c>
      <c r="AT41" s="190" t="str">
        <f>IF(COUNT($T$26:$T$27)&lt;2,"",IF($T$26&gt;$T$27,"V",IF($T$26&lt;$T$27,"D","Empate??")))</f>
        <v/>
      </c>
      <c r="AU41" s="191" t="str">
        <f>IF(COUNT($T$26:$T$27)&lt;2,"",$T$26)</f>
        <v/>
      </c>
      <c r="AV41" s="192" t="str">
        <f>IF(COUNT($T$26:$T$27)&lt;2,"",$T$27)</f>
        <v/>
      </c>
      <c r="AW41" s="193" t="str">
        <f t="shared" si="3"/>
        <v/>
      </c>
      <c r="AX41" s="192" t="str">
        <f>IF(COUNT($T$26:$T$27)&lt;2,"",SUM($U$26:$W$26))</f>
        <v/>
      </c>
      <c r="AY41" s="194" t="str">
        <f>IF(COUNT($T$26:$T$27)&lt;2,"",SUM($U$27:$W$27))</f>
        <v/>
      </c>
      <c r="AZ41" s="195" t="str">
        <f t="shared" si="2"/>
        <v/>
      </c>
    </row>
    <row r="42" spans="2:52" ht="15.75" hidden="1" customHeight="1" thickBot="1">
      <c r="B42" s="126"/>
      <c r="C42" s="317" t="str">
        <f>IF(R13="","2º do grupo C",R13)</f>
        <v>2º do grupo C</v>
      </c>
      <c r="D42" s="318"/>
      <c r="E42" s="69"/>
      <c r="F42" s="69"/>
      <c r="G42" s="70"/>
      <c r="H42" s="35" t="str">
        <f>IF(COUNT(E42:G42)&lt;1,"",IF(SUM(IF(E42&gt;E44,1,0),IF(F42&gt;F44,1,0),IF(G42&gt;G44,1,0))&gt;2,"??",SUM(IF(E42&gt;E44,1,0),IF(F42&gt;F44,1,0),IF(G42&gt;G44,1,0))))</f>
        <v/>
      </c>
      <c r="I42" s="36"/>
      <c r="J42" s="40"/>
      <c r="K42" s="59"/>
      <c r="L42" s="55"/>
      <c r="M42" s="42"/>
      <c r="N42" s="42"/>
      <c r="O42" s="42"/>
      <c r="P42" s="36"/>
      <c r="Q42" s="40"/>
      <c r="R42" s="55"/>
      <c r="S42" s="46"/>
      <c r="T42" s="55"/>
      <c r="U42" s="55"/>
      <c r="V42" s="60"/>
      <c r="W42" s="53"/>
      <c r="X42" s="48"/>
      <c r="Y42" s="53"/>
      <c r="Z42" s="53"/>
      <c r="AA42" s="53"/>
      <c r="AB42" s="53"/>
      <c r="AC42" s="53"/>
      <c r="AD42" s="54"/>
      <c r="AE42" s="113"/>
      <c r="AN42" s="196">
        <f>IF($Q26="","",$Q26)</f>
        <v>22</v>
      </c>
      <c r="AO42" s="175" t="str">
        <f t="shared" si="6"/>
        <v>Grupo C</v>
      </c>
      <c r="AP42" s="358" t="str">
        <f>IF($R$27="","",$R$27)</f>
        <v>A Ferreira/P Nunes (Centro)</v>
      </c>
      <c r="AQ42" s="359" t="str">
        <f t="shared" si="7"/>
        <v>Grupo A</v>
      </c>
      <c r="AR42" s="359" t="str">
        <f t="shared" si="7"/>
        <v>Grupo A</v>
      </c>
      <c r="AS42" s="360" t="str">
        <f t="shared" si="7"/>
        <v>Grupo A</v>
      </c>
      <c r="AT42" s="176" t="str">
        <f>IF(COUNT($T$26:$T$27)&lt;2,"",IF($T$26&lt;$T$27,"V",IF($T$26&gt;$T$27,"D","Empate??")))</f>
        <v/>
      </c>
      <c r="AU42" s="177" t="str">
        <f>IF(COUNT($T$26:$T$27)&lt;2,"",$T$27)</f>
        <v/>
      </c>
      <c r="AV42" s="178" t="str">
        <f>IF(COUNT($T$26:$T$27)&lt;2,"",$T$26)</f>
        <v/>
      </c>
      <c r="AW42" s="179" t="str">
        <f t="shared" si="3"/>
        <v/>
      </c>
      <c r="AX42" s="178" t="str">
        <f>IF(COUNT($T$26:$T$27)&lt;2,"",SUM($U$27:$W$27))</f>
        <v/>
      </c>
      <c r="AY42" s="180" t="str">
        <f>IF(COUNT($T$26:$T$27)&lt;2,"",SUM($U$26:$W$26))</f>
        <v/>
      </c>
      <c r="AZ42" s="181" t="str">
        <f t="shared" si="2"/>
        <v/>
      </c>
    </row>
    <row r="43" spans="2:52" ht="15.75" hidden="1" customHeight="1">
      <c r="B43" s="126"/>
      <c r="C43" s="68"/>
      <c r="D43" s="37"/>
      <c r="E43" s="55"/>
      <c r="F43" s="42"/>
      <c r="G43" s="44"/>
      <c r="H43" s="63">
        <v>28</v>
      </c>
      <c r="I43" s="322" t="str">
        <f>IF(OR(H42="",H44="")=TRUE,"2ª Meia Final-Jogador2",IF(H42&gt;H44,C42,C44))</f>
        <v>2ª Meia Final-Jogador2</v>
      </c>
      <c r="J43" s="317"/>
      <c r="K43" s="318"/>
      <c r="L43" s="69"/>
      <c r="M43" s="69"/>
      <c r="N43" s="70"/>
      <c r="O43" s="35" t="str">
        <f>IF(COUNT(L43:N43)&lt;1,"",IF(SUM(IF(L39&lt;L43,1,0),IF(M39&lt;M43,1,0),IF(N39&lt;N43,1,0))&gt;2,"??",SUM(IF(L39&lt;L43,1,0),IF(M39&lt;M43,1,0),IF(N39&lt;N43,1,0))))</f>
        <v/>
      </c>
      <c r="P43" s="36"/>
      <c r="Q43" s="40"/>
      <c r="R43" s="55"/>
      <c r="S43" s="55"/>
      <c r="T43" s="55"/>
      <c r="U43" s="55"/>
      <c r="V43" s="55"/>
      <c r="W43" s="54"/>
      <c r="X43" s="68"/>
      <c r="Y43" s="54"/>
      <c r="Z43" s="54"/>
      <c r="AA43" s="54"/>
      <c r="AB43" s="54"/>
      <c r="AC43" s="54"/>
      <c r="AD43" s="54"/>
      <c r="AE43" s="113"/>
      <c r="AN43" s="197">
        <f>IF($X16="","",$X16)</f>
        <v>7</v>
      </c>
      <c r="AO43" s="198" t="str">
        <f>IF($X$5="","",$X$5)</f>
        <v>Grupo D</v>
      </c>
      <c r="AP43" s="361" t="str">
        <f>IF($Y$16="","",$Y$16)</f>
        <v>F Moreira/H Ribeiro (Norte)</v>
      </c>
      <c r="AQ43" s="362" t="str">
        <f t="shared" si="7"/>
        <v>Grupo A</v>
      </c>
      <c r="AR43" s="362" t="str">
        <f t="shared" si="7"/>
        <v>Grupo A</v>
      </c>
      <c r="AS43" s="363" t="str">
        <f t="shared" si="7"/>
        <v>Grupo A</v>
      </c>
      <c r="AT43" s="199" t="str">
        <f>IF(COUNT($AA$16:$AA$17)&lt;2,"",IF($AA$16&gt;$AA$17,"V",IF($AA$16&lt;$AA$17,"D","Empate??")))</f>
        <v/>
      </c>
      <c r="AU43" s="200" t="str">
        <f>IF(COUNT($AA$16:$AA$17)&lt;2,"",$AA$16)</f>
        <v/>
      </c>
      <c r="AV43" s="201" t="str">
        <f>IF(COUNT($AA$16:$AA$17)&lt;2,"",$AA$17)</f>
        <v/>
      </c>
      <c r="AW43" s="202" t="str">
        <f t="shared" si="3"/>
        <v/>
      </c>
      <c r="AX43" s="201" t="str">
        <f>IF(COUNT($AA$16:$AA$17)&lt;2,"",SUM($AB$16:$AD$16))</f>
        <v/>
      </c>
      <c r="AY43" s="203" t="str">
        <f>IF(COUNT($AA$16:$AA$17)&lt;2,"",SUM($AB$17:$AD$17))</f>
        <v/>
      </c>
      <c r="AZ43" s="204" t="str">
        <f t="shared" si="2"/>
        <v/>
      </c>
    </row>
    <row r="44" spans="2:52" ht="15.75" hidden="1" customHeight="1">
      <c r="B44" s="126"/>
      <c r="C44" s="317" t="str">
        <f>IF(Y12="","1º do grupo D",Y12)</f>
        <v>1º do grupo D</v>
      </c>
      <c r="D44" s="318"/>
      <c r="E44" s="69"/>
      <c r="F44" s="69"/>
      <c r="G44" s="70"/>
      <c r="H44" s="35" t="str">
        <f>IF(COUNT(E44:G44)&lt;1,"",IF(SUM(IF(E42&lt;E44,1,0),IF(F42&lt;F44,1,0),IF(G42&lt;G44,1,0))&gt;2,"??",SUM(IF(E42&lt;E44,1,0),IF(F42&lt;F44,1,0),IF(G42&lt;G44,1,0))))</f>
        <v/>
      </c>
      <c r="I44" s="36"/>
      <c r="J44" s="40"/>
      <c r="K44" s="55"/>
      <c r="L44" s="46"/>
      <c r="M44" s="55"/>
      <c r="N44" s="55"/>
      <c r="O44" s="55"/>
      <c r="P44" s="55"/>
      <c r="Q44" s="40"/>
      <c r="R44" s="55"/>
      <c r="S44" s="55"/>
      <c r="T44" s="55"/>
      <c r="U44" s="55"/>
      <c r="V44" s="55"/>
      <c r="W44" s="54"/>
      <c r="X44" s="68"/>
      <c r="Y44" s="54"/>
      <c r="Z44" s="54"/>
      <c r="AA44" s="54"/>
      <c r="AB44" s="54"/>
      <c r="AC44" s="54"/>
      <c r="AD44" s="54"/>
      <c r="AE44" s="113"/>
      <c r="AN44" s="205">
        <f>IF($X16="","",$X16)</f>
        <v>7</v>
      </c>
      <c r="AO44" s="206" t="str">
        <f t="shared" ref="AO44:AO54" si="8">IF($X$5="","",$X$5)</f>
        <v>Grupo D</v>
      </c>
      <c r="AP44" s="346" t="str">
        <f>IF($Y$17="","",$Y$17)</f>
        <v/>
      </c>
      <c r="AQ44" s="347" t="str">
        <f t="shared" si="7"/>
        <v>Grupo A</v>
      </c>
      <c r="AR44" s="347" t="str">
        <f t="shared" si="7"/>
        <v>Grupo A</v>
      </c>
      <c r="AS44" s="348" t="str">
        <f t="shared" si="7"/>
        <v>Grupo A</v>
      </c>
      <c r="AT44" s="207" t="str">
        <f>IF(COUNT($AA$16:$AA$17)&lt;2,"",IF($AA$16&lt;$AA$17,"V",IF($AA$16&gt;$AA$17,"D","Empate??")))</f>
        <v/>
      </c>
      <c r="AU44" s="208" t="str">
        <f>IF(COUNT($AA$16:$AA$17)&lt;2,"",$AA$17)</f>
        <v/>
      </c>
      <c r="AV44" s="209" t="str">
        <f>IF(COUNT($AA$16:$AA$17)&lt;2,"",$AA$16)</f>
        <v/>
      </c>
      <c r="AW44" s="210" t="str">
        <f t="shared" si="3"/>
        <v/>
      </c>
      <c r="AX44" s="209" t="str">
        <f>IF(COUNT($AA$16:$AA$17)&lt;2,"",SUM($AB$17:$AD$17))</f>
        <v/>
      </c>
      <c r="AY44" s="211" t="str">
        <f>IF(COUNT($AA$16:$AA$17)&lt;2,"",SUM($AB$16:$AD$16))</f>
        <v/>
      </c>
      <c r="AZ44" s="212" t="str">
        <f t="shared" si="2"/>
        <v/>
      </c>
    </row>
    <row r="45" spans="2:52" ht="11.25" hidden="1" customHeight="1">
      <c r="B45" s="128"/>
      <c r="C45" s="123"/>
      <c r="D45" s="129"/>
      <c r="E45" s="122"/>
      <c r="F45" s="122"/>
      <c r="G45" s="122"/>
      <c r="H45" s="122"/>
      <c r="I45" s="122"/>
      <c r="J45" s="123"/>
      <c r="K45" s="122"/>
      <c r="L45" s="122"/>
      <c r="M45" s="122"/>
      <c r="N45" s="122"/>
      <c r="O45" s="122"/>
      <c r="P45" s="122"/>
      <c r="Q45" s="123"/>
      <c r="R45" s="122"/>
      <c r="S45" s="122"/>
      <c r="T45" s="122"/>
      <c r="U45" s="122"/>
      <c r="V45" s="122"/>
      <c r="W45" s="122"/>
      <c r="X45" s="123"/>
      <c r="Y45" s="122"/>
      <c r="Z45" s="122"/>
      <c r="AA45" s="122"/>
      <c r="AB45" s="122"/>
      <c r="AC45" s="122"/>
      <c r="AD45" s="122"/>
      <c r="AE45" s="124"/>
      <c r="AN45" s="213">
        <f>IF($X18="","",$X18)</f>
        <v>8</v>
      </c>
      <c r="AO45" s="214" t="str">
        <f t="shared" si="8"/>
        <v>Grupo D</v>
      </c>
      <c r="AP45" s="349" t="str">
        <f>IF($Y$18="","",$Y$18)</f>
        <v>L Macrino/G Moita (Lisboa)</v>
      </c>
      <c r="AQ45" s="350" t="str">
        <f t="shared" si="7"/>
        <v>Grupo A</v>
      </c>
      <c r="AR45" s="350" t="str">
        <f t="shared" si="7"/>
        <v>Grupo A</v>
      </c>
      <c r="AS45" s="351" t="str">
        <f t="shared" si="7"/>
        <v>Grupo A</v>
      </c>
      <c r="AT45" s="215" t="str">
        <f>IF(COUNT($AA$18:$AA$19)&lt;2,"",IF($AA$18&gt;$AA$19,"V",IF($AA$18&lt;$AA$19,"D","Empate??")))</f>
        <v/>
      </c>
      <c r="AU45" s="216" t="str">
        <f>IF(COUNT($AA$18:$AA$19)&lt;2,"",$AA$18)</f>
        <v/>
      </c>
      <c r="AV45" s="217" t="str">
        <f>IF(COUNT($AA$18:$AA$19)&lt;2,"",$AA$19)</f>
        <v/>
      </c>
      <c r="AW45" s="218" t="str">
        <f t="shared" si="3"/>
        <v/>
      </c>
      <c r="AX45" s="217" t="str">
        <f>IF(COUNT($AA$18:$AA$19)&lt;2,"",SUM($AB$18:$AD$18))</f>
        <v/>
      </c>
      <c r="AY45" s="219" t="str">
        <f>IF(COUNT($AA$18:$AA$19)&lt;2,"",SUM($AB$19:$AD$19))</f>
        <v/>
      </c>
      <c r="AZ45" s="220" t="str">
        <f t="shared" si="2"/>
        <v/>
      </c>
    </row>
    <row r="46" spans="2:52" ht="4.5" hidden="1" customHeight="1">
      <c r="AN46" s="205">
        <f>IF($X18="","",$X18)</f>
        <v>8</v>
      </c>
      <c r="AO46" s="206" t="str">
        <f t="shared" si="8"/>
        <v>Grupo D</v>
      </c>
      <c r="AP46" s="346" t="str">
        <f>IF($Y$19="","",$Y$19)</f>
        <v>M Pinela/S Boavista (Alentejo)</v>
      </c>
      <c r="AQ46" s="347" t="str">
        <f t="shared" si="7"/>
        <v>Grupo A</v>
      </c>
      <c r="AR46" s="347" t="str">
        <f t="shared" si="7"/>
        <v>Grupo A</v>
      </c>
      <c r="AS46" s="348" t="str">
        <f t="shared" si="7"/>
        <v>Grupo A</v>
      </c>
      <c r="AT46" s="207" t="str">
        <f>IF(COUNT($AA$18:$AA$19)&lt;2,"",IF($AA$18&lt;$AA$19,"V",IF($AA$18&gt;$AA$19,"D","Empate??")))</f>
        <v/>
      </c>
      <c r="AU46" s="208" t="str">
        <f>IF(COUNT($AA$18:$AA$19)&lt;2,"",$AA$19)</f>
        <v/>
      </c>
      <c r="AV46" s="209" t="str">
        <f>IF(COUNT($AA$18:$AA$19)&lt;2,"",$AA$18)</f>
        <v/>
      </c>
      <c r="AW46" s="210" t="str">
        <f t="shared" si="3"/>
        <v/>
      </c>
      <c r="AX46" s="209" t="str">
        <f>IF(COUNT($AA$18:$AA$19)&lt;2,"",SUM($AB$19:$AD$19))</f>
        <v/>
      </c>
      <c r="AY46" s="211" t="str">
        <f>IF(COUNT($AA$18:$AA$19)&lt;2,"",SUM($AB$18:$AD$18))</f>
        <v/>
      </c>
      <c r="AZ46" s="212" t="str">
        <f t="shared" si="2"/>
        <v/>
      </c>
    </row>
    <row r="47" spans="2:52" ht="13.5" hidden="1" thickBot="1">
      <c r="D47" s="54"/>
      <c r="H47" s="125"/>
      <c r="I47" s="61"/>
      <c r="J47" s="167"/>
      <c r="K47" s="61"/>
      <c r="L47" s="61"/>
      <c r="M47" s="61"/>
      <c r="N47" s="61"/>
      <c r="O47" s="61"/>
      <c r="P47" s="61"/>
      <c r="Q47" s="167"/>
      <c r="R47" s="61"/>
      <c r="S47" s="61"/>
      <c r="T47" s="61"/>
      <c r="U47" s="61"/>
      <c r="V47" s="61"/>
      <c r="W47" s="61"/>
      <c r="X47" s="167"/>
      <c r="Y47" s="61"/>
      <c r="Z47" s="61"/>
      <c r="AA47" s="61"/>
      <c r="AB47" s="61"/>
      <c r="AC47" s="61"/>
      <c r="AD47" s="61"/>
      <c r="AE47" s="3"/>
      <c r="AN47" s="221">
        <f>IF($X20="","",$X20)</f>
        <v>15</v>
      </c>
      <c r="AO47" s="222" t="str">
        <f t="shared" si="8"/>
        <v>Grupo D</v>
      </c>
      <c r="AP47" s="349" t="str">
        <f>IF($Y$20="","",$Y$20)</f>
        <v/>
      </c>
      <c r="AQ47" s="350" t="str">
        <f t="shared" si="7"/>
        <v>Grupo A</v>
      </c>
      <c r="AR47" s="350" t="str">
        <f t="shared" si="7"/>
        <v>Grupo A</v>
      </c>
      <c r="AS47" s="351" t="str">
        <f t="shared" si="7"/>
        <v>Grupo A</v>
      </c>
      <c r="AT47" s="223" t="str">
        <f>IF(COUNT($AA$20:$AA$21)&lt;2,"",IF($AA$20&gt;$AA$21,"V",IF($AA$20&lt;$AA$21,"D","Empate??")))</f>
        <v/>
      </c>
      <c r="AU47" s="224" t="str">
        <f>IF(COUNT($AA$20:$AA$21)&lt;2,"",$AA$20)</f>
        <v/>
      </c>
      <c r="AV47" s="225" t="str">
        <f>IF(COUNT($AA$20:$AA$21)&lt;2,"",$AA$21)</f>
        <v/>
      </c>
      <c r="AW47" s="226" t="str">
        <f t="shared" si="3"/>
        <v/>
      </c>
      <c r="AX47" s="225" t="str">
        <f>IF(COUNT($AA$20:$AA$21)&lt;2,"",SUM($AB$20:$AD$20))</f>
        <v/>
      </c>
      <c r="AY47" s="227" t="str">
        <f>IF(COUNT($AA$20:$AA$21)&lt;2,"",SUM($AB$21:$AD$21))</f>
        <v/>
      </c>
      <c r="AZ47" s="228" t="str">
        <f t="shared" si="2"/>
        <v/>
      </c>
    </row>
    <row r="48" spans="2:52" hidden="1">
      <c r="D48" s="54"/>
      <c r="H48" s="126"/>
      <c r="I48" s="336" t="s">
        <v>49</v>
      </c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68"/>
      <c r="Y48" s="337" t="s">
        <v>0</v>
      </c>
      <c r="Z48" s="338"/>
      <c r="AA48" s="338"/>
      <c r="AB48" s="338"/>
      <c r="AC48" s="338"/>
      <c r="AD48" s="339"/>
      <c r="AE48" s="113"/>
      <c r="AN48" s="205">
        <f>IF($X20="","",$X20)</f>
        <v>15</v>
      </c>
      <c r="AO48" s="206" t="str">
        <f t="shared" si="8"/>
        <v>Grupo D</v>
      </c>
      <c r="AP48" s="346" t="str">
        <f>IF($Y$21="","",$Y$21)</f>
        <v>M Pinela/S Boavista (Alentejo)</v>
      </c>
      <c r="AQ48" s="347" t="str">
        <f t="shared" si="7"/>
        <v>Grupo A</v>
      </c>
      <c r="AR48" s="347" t="str">
        <f t="shared" si="7"/>
        <v>Grupo A</v>
      </c>
      <c r="AS48" s="348" t="str">
        <f t="shared" si="7"/>
        <v>Grupo A</v>
      </c>
      <c r="AT48" s="207" t="str">
        <f>IF(COUNT($AA$20:$AA$21)&lt;2,"",IF($AA$20&lt;$AA$21,"V",IF($AA$20&gt;$AA$21,"D","Empate??")))</f>
        <v/>
      </c>
      <c r="AU48" s="208" t="str">
        <f>IF(COUNT($AA$20:$AA$21)&lt;2,"",$AA$21)</f>
        <v/>
      </c>
      <c r="AV48" s="209" t="str">
        <f>IF(COUNT($AA$20:$AA$21)&lt;2,"",$AA$20)</f>
        <v/>
      </c>
      <c r="AW48" s="210" t="str">
        <f t="shared" si="3"/>
        <v/>
      </c>
      <c r="AX48" s="209" t="str">
        <f>IF(COUNT($AA$20:$AA$21)&lt;2,"",SUM($AB$21:$AD$21))</f>
        <v/>
      </c>
      <c r="AY48" s="211" t="str">
        <f>IF(COUNT($AA$20:$AA$21)&lt;2,"",SUM($AB$20:$AD$20))</f>
        <v/>
      </c>
      <c r="AZ48" s="212" t="str">
        <f t="shared" si="2"/>
        <v/>
      </c>
    </row>
    <row r="49" spans="2:54" ht="13.5" hidden="1" thickBot="1">
      <c r="B49" s="357"/>
      <c r="C49" s="357"/>
      <c r="D49" s="357"/>
      <c r="E49" s="258"/>
      <c r="H49" s="12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68"/>
      <c r="Y49" s="340"/>
      <c r="Z49" s="341"/>
      <c r="AA49" s="341"/>
      <c r="AB49" s="341"/>
      <c r="AC49" s="341"/>
      <c r="AD49" s="342"/>
      <c r="AE49" s="113"/>
      <c r="AN49" s="221">
        <f>IF($X22="","",$X22)</f>
        <v>16</v>
      </c>
      <c r="AO49" s="222" t="str">
        <f t="shared" si="8"/>
        <v>Grupo D</v>
      </c>
      <c r="AP49" s="349" t="str">
        <f>IF($Y$22="","",$Y$22)</f>
        <v>F Moreira/H Ribeiro (Norte)</v>
      </c>
      <c r="AQ49" s="350" t="str">
        <f t="shared" si="7"/>
        <v>Grupo A</v>
      </c>
      <c r="AR49" s="350" t="str">
        <f t="shared" si="7"/>
        <v>Grupo A</v>
      </c>
      <c r="AS49" s="351" t="str">
        <f t="shared" si="7"/>
        <v>Grupo A</v>
      </c>
      <c r="AT49" s="223" t="str">
        <f>IF(COUNT($AA$22:$AA$23)&lt;2,"",IF($AA$22&gt;$AA$23,"V",IF($AA$22&lt;$AA$23,"D","Empate??")))</f>
        <v/>
      </c>
      <c r="AU49" s="224" t="str">
        <f>IF(COUNT($AA$22:$AA$23)&lt;2,"",$AA$22)</f>
        <v/>
      </c>
      <c r="AV49" s="225" t="str">
        <f>IF(COUNT($AA$22:$AA$23)&lt;2,"",$AA$23)</f>
        <v/>
      </c>
      <c r="AW49" s="226" t="str">
        <f t="shared" si="3"/>
        <v/>
      </c>
      <c r="AX49" s="225" t="str">
        <f>IF(COUNT($AA$22:$AA$23)&lt;2,"",SUM($AB$22:$AD$22))</f>
        <v/>
      </c>
      <c r="AY49" s="227" t="str">
        <f>IF(COUNT($AA$22:$AA$23)&lt;2,"",SUM($AB$23:$AD$23))</f>
        <v/>
      </c>
      <c r="AZ49" s="228" t="str">
        <f t="shared" si="2"/>
        <v/>
      </c>
    </row>
    <row r="50" spans="2:54" ht="15.75" hidden="1">
      <c r="H50" s="126"/>
      <c r="I50" s="317" t="str">
        <f>IF(I31="1ª Meia Final-Jogador1",CONCATENATE("Vencido do jogo ",H31),IF(I31=C30,C32,C30))</f>
        <v>Vencido do jogo 25</v>
      </c>
      <c r="J50" s="317"/>
      <c r="K50" s="318"/>
      <c r="L50" s="69"/>
      <c r="M50" s="69"/>
      <c r="N50" s="70"/>
      <c r="O50" s="38" t="str">
        <f>IF(COUNT(L50:N50)&lt;1,"",IF(SUM(IF(L50&gt;L54,1,0),IF(M50&gt;M54,1,0),IF(N50&gt;N54,1,0))&gt;2,"??",SUM(IF(L50&gt;L54,1,0),IF(M50&gt;M54,1,0),IF(N50&gt;N54,1,0))))</f>
        <v/>
      </c>
      <c r="P50" s="55"/>
      <c r="Q50" s="40"/>
      <c r="R50" s="55"/>
      <c r="S50" s="55"/>
      <c r="T50" s="55"/>
      <c r="U50" s="55"/>
      <c r="V50" s="55"/>
      <c r="W50" s="54"/>
      <c r="X50" s="68"/>
      <c r="Y50" s="343" t="str">
        <f>IF(X56="5º Classificado","",X56)</f>
        <v/>
      </c>
      <c r="Z50" s="344"/>
      <c r="AA50" s="344"/>
      <c r="AB50" s="344"/>
      <c r="AC50" s="344"/>
      <c r="AD50" s="39" t="s">
        <v>37</v>
      </c>
      <c r="AE50" s="113"/>
      <c r="AN50" s="205">
        <f>IF($X22="","",$X22)</f>
        <v>16</v>
      </c>
      <c r="AO50" s="206" t="str">
        <f t="shared" si="8"/>
        <v>Grupo D</v>
      </c>
      <c r="AP50" s="346" t="str">
        <f>IF($Y$23="","",$Y$23)</f>
        <v>L Macrino/G Moita (Lisboa)</v>
      </c>
      <c r="AQ50" s="347" t="str">
        <f t="shared" si="7"/>
        <v>Grupo A</v>
      </c>
      <c r="AR50" s="347" t="str">
        <f t="shared" si="7"/>
        <v>Grupo A</v>
      </c>
      <c r="AS50" s="348" t="str">
        <f t="shared" si="7"/>
        <v>Grupo A</v>
      </c>
      <c r="AT50" s="207" t="str">
        <f>IF(COUNT($AA$22:$AA$23)&lt;2,"",IF($AA$22&lt;$AA$23,"V",IF($AA$22&gt;$AA$23,"D","Empate??")))</f>
        <v/>
      </c>
      <c r="AU50" s="208" t="str">
        <f>IF(COUNT($AA$22:$AA$23)&lt;2,"",$AA$23)</f>
        <v/>
      </c>
      <c r="AV50" s="209" t="str">
        <f>IF(COUNT($AA$22:$AA$23)&lt;2,"",$AA$22)</f>
        <v/>
      </c>
      <c r="AW50" s="210" t="str">
        <f t="shared" si="3"/>
        <v/>
      </c>
      <c r="AX50" s="209" t="str">
        <f>IF(COUNT($AA$22:$AA$23)&lt;2,"",SUM($AB$23:$AD$23))</f>
        <v/>
      </c>
      <c r="AY50" s="211" t="str">
        <f>IF(COUNT($AA$22:$AA$23)&lt;2,"",SUM($AB$22:$AD$22))</f>
        <v/>
      </c>
      <c r="AZ50" s="212" t="str">
        <f t="shared" si="2"/>
        <v/>
      </c>
    </row>
    <row r="51" spans="2:54" ht="15" hidden="1" customHeight="1">
      <c r="H51" s="126"/>
      <c r="I51" s="55"/>
      <c r="J51" s="40"/>
      <c r="K51" s="59"/>
      <c r="L51" s="55"/>
      <c r="M51" s="41"/>
      <c r="N51" s="41"/>
      <c r="O51" s="42"/>
      <c r="P51" s="36"/>
      <c r="Q51" s="40"/>
      <c r="R51" s="55"/>
      <c r="S51" s="55"/>
      <c r="T51" s="55"/>
      <c r="U51" s="55"/>
      <c r="V51" s="60"/>
      <c r="W51" s="53"/>
      <c r="X51" s="48"/>
      <c r="Y51" s="332" t="str">
        <f>IF(Y50="","",IF(Y50=P52,P60,P52))</f>
        <v/>
      </c>
      <c r="Z51" s="333" t="e">
        <f>IF(#REF!="","",IF(#REF!=W51,"","(2º) "))</f>
        <v>#REF!</v>
      </c>
      <c r="AA51" s="333" t="e">
        <f>IF(#REF!="","",IF(#REF!=X51,"","(2º) "))</f>
        <v>#REF!</v>
      </c>
      <c r="AB51" s="333" t="e">
        <f>IF(#REF!="","",IF(#REF!=Y51,"","(2º) "))</f>
        <v>#REF!</v>
      </c>
      <c r="AC51" s="333" t="e">
        <f>IF(#REF!="","",IF(#REF!=Z51,"","(2º) "))</f>
        <v>#REF!</v>
      </c>
      <c r="AD51" s="43" t="s">
        <v>38</v>
      </c>
      <c r="AE51" s="113"/>
      <c r="AN51" s="221">
        <f>IF($X24="","",$X24)</f>
        <v>23</v>
      </c>
      <c r="AO51" s="222" t="str">
        <f t="shared" si="8"/>
        <v>Grupo D</v>
      </c>
      <c r="AP51" s="349" t="str">
        <f>IF($Y$24="","",$Y$24)</f>
        <v>L Macrino/G Moita (Lisboa)</v>
      </c>
      <c r="AQ51" s="350" t="str">
        <f t="shared" si="7"/>
        <v>Grupo A</v>
      </c>
      <c r="AR51" s="350" t="str">
        <f t="shared" si="7"/>
        <v>Grupo A</v>
      </c>
      <c r="AS51" s="351" t="str">
        <f t="shared" si="7"/>
        <v>Grupo A</v>
      </c>
      <c r="AT51" s="223" t="str">
        <f>IF(COUNT($AA$24:$AA$25)&lt;2,"",IF($AA$24&gt;$AA$25,"V",IF($AA$24&lt;$AA$25,"D","Empate??")))</f>
        <v/>
      </c>
      <c r="AU51" s="224" t="str">
        <f>IF(COUNT($AA$24:$AA$25)&lt;2,"",$AA$24)</f>
        <v/>
      </c>
      <c r="AV51" s="225" t="str">
        <f>IF(COUNT($AA$24:$AA$25)&lt;2,"",$AA$25)</f>
        <v/>
      </c>
      <c r="AW51" s="226" t="str">
        <f t="shared" si="3"/>
        <v/>
      </c>
      <c r="AX51" s="225" t="str">
        <f>IF(COUNT($AA$24:$AA$25)&lt;2,"",SUM($AB$24:$AD$24))</f>
        <v/>
      </c>
      <c r="AY51" s="227" t="str">
        <f>IF(COUNT($AA$24:$AA$25)&lt;2,"",SUM($AB$25:$AD$25))</f>
        <v/>
      </c>
      <c r="AZ51" s="228" t="str">
        <f t="shared" si="2"/>
        <v/>
      </c>
    </row>
    <row r="52" spans="2:54" ht="15" hidden="1" customHeight="1">
      <c r="H52" s="126"/>
      <c r="I52" s="55"/>
      <c r="J52" s="40"/>
      <c r="K52" s="59"/>
      <c r="L52" s="55"/>
      <c r="M52" s="42"/>
      <c r="N52" s="42"/>
      <c r="O52" s="64">
        <v>33</v>
      </c>
      <c r="P52" s="322" t="str">
        <f>IF(OR(O50="",O54="")=TRUE,"Disputa 5º/6º Jogador1",IF(O50&gt;O54,I50,I54))</f>
        <v>Disputa 5º/6º Jogador1</v>
      </c>
      <c r="Q52" s="317"/>
      <c r="R52" s="317"/>
      <c r="S52" s="318"/>
      <c r="T52" s="69"/>
      <c r="U52" s="69"/>
      <c r="V52" s="69"/>
      <c r="W52" s="45" t="str">
        <f>IF(COUNT(T52:V52)&lt;1,"",IF(SUM(IF(T52&gt;T60,1,0),IF(U52&gt;U60,1,0),IF(V52&gt;V60,1,0))&gt;2,"??",SUM(IF(T52&gt;T60,1,0),IF(U52&gt;U60,1,0),IF(V52&gt;V60,1,0))))</f>
        <v/>
      </c>
      <c r="X52" s="48"/>
      <c r="Y52" s="332" t="str">
        <f>IF(P56="7º Classificado","",P56)</f>
        <v/>
      </c>
      <c r="Z52" s="333"/>
      <c r="AA52" s="333"/>
      <c r="AB52" s="333"/>
      <c r="AC52" s="333"/>
      <c r="AD52" s="43" t="s">
        <v>39</v>
      </c>
      <c r="AE52" s="113"/>
      <c r="AN52" s="205">
        <f>IF($X24="","",$X24)</f>
        <v>23</v>
      </c>
      <c r="AO52" s="206" t="str">
        <f t="shared" si="8"/>
        <v>Grupo D</v>
      </c>
      <c r="AP52" s="346" t="str">
        <f>IF($Y$25="","",$Y$25)</f>
        <v/>
      </c>
      <c r="AQ52" s="347" t="str">
        <f t="shared" si="7"/>
        <v>Grupo A</v>
      </c>
      <c r="AR52" s="347" t="str">
        <f t="shared" si="7"/>
        <v>Grupo A</v>
      </c>
      <c r="AS52" s="348" t="str">
        <f t="shared" si="7"/>
        <v>Grupo A</v>
      </c>
      <c r="AT52" s="207" t="str">
        <f>IF(COUNT($AA$24:$AA$25)&lt;2,"",IF($AA$24&lt;$AA$25,"V",IF($AA$24&gt;$AA$25,"D","Empate??")))</f>
        <v/>
      </c>
      <c r="AU52" s="208" t="str">
        <f>IF(COUNT($AA$24:$AA$25)&lt;2,"",$AA$25)</f>
        <v/>
      </c>
      <c r="AV52" s="209" t="str">
        <f>IF(COUNT($AA$24:$AA$25)&lt;2,"",$AA$24)</f>
        <v/>
      </c>
      <c r="AW52" s="210" t="str">
        <f t="shared" si="3"/>
        <v/>
      </c>
      <c r="AX52" s="209" t="str">
        <f>IF(COUNT($AA$24:$AA$25)&lt;2,"",SUM($AB$25:$AD$25))</f>
        <v/>
      </c>
      <c r="AY52" s="211" t="str">
        <f>IF(COUNT($AA$24:$AA$25)&lt;2,"",SUM($AB$24:$AD$24))</f>
        <v/>
      </c>
      <c r="AZ52" s="212" t="str">
        <f t="shared" si="2"/>
        <v/>
      </c>
    </row>
    <row r="53" spans="2:54" ht="15.75" hidden="1" thickBot="1">
      <c r="H53" s="126"/>
      <c r="I53" s="55"/>
      <c r="J53" s="40"/>
      <c r="K53" s="59"/>
      <c r="L53" s="55"/>
      <c r="M53" s="42"/>
      <c r="N53" s="42"/>
      <c r="O53" s="42"/>
      <c r="P53" s="36"/>
      <c r="Q53" s="40"/>
      <c r="R53" s="55"/>
      <c r="S53" s="46"/>
      <c r="T53" s="42"/>
      <c r="U53" s="42"/>
      <c r="V53" s="67"/>
      <c r="W53" s="47"/>
      <c r="X53" s="48"/>
      <c r="Y53" s="334" t="str">
        <f>IF(Y52="","",IF(Y52=P54,P58,P54))</f>
        <v/>
      </c>
      <c r="Z53" s="335" t="e">
        <f>IF(#REF!="","",IF(#REF!=W53,"","(2º) "))</f>
        <v>#REF!</v>
      </c>
      <c r="AA53" s="335" t="e">
        <f>IF(#REF!="","",IF(#REF!=X53,"","(2º) "))</f>
        <v>#REF!</v>
      </c>
      <c r="AB53" s="335" t="e">
        <f>IF(#REF!="","",IF(#REF!=Y53,"","(2º) "))</f>
        <v>#REF!</v>
      </c>
      <c r="AC53" s="335" t="e">
        <f>IF(#REF!="","",IF(#REF!=Z53,"","(2º) "))</f>
        <v>#REF!</v>
      </c>
      <c r="AD53" s="164" t="s">
        <v>40</v>
      </c>
      <c r="AE53" s="113"/>
      <c r="AN53" s="221">
        <f>IF($X26="","",$X26)</f>
        <v>24</v>
      </c>
      <c r="AO53" s="222" t="str">
        <f t="shared" si="8"/>
        <v>Grupo D</v>
      </c>
      <c r="AP53" s="349" t="str">
        <f>IF($Y$26="","",$Y$26)</f>
        <v>M Pinela/S Boavista (Alentejo)</v>
      </c>
      <c r="AQ53" s="350" t="str">
        <f t="shared" si="7"/>
        <v>Grupo A</v>
      </c>
      <c r="AR53" s="350" t="str">
        <f t="shared" si="7"/>
        <v>Grupo A</v>
      </c>
      <c r="AS53" s="351" t="str">
        <f t="shared" si="7"/>
        <v>Grupo A</v>
      </c>
      <c r="AT53" s="223" t="str">
        <f>IF(COUNT($AA$26:$AA$27)&lt;2,"",IF($AA$26&gt;$AA$27,"V",IF($AA$26&lt;$AA$27,"D","Empate??")))</f>
        <v/>
      </c>
      <c r="AU53" s="224" t="str">
        <f>IF(COUNT($AA$26:$AA$27)&lt;2,"",$AA$26)</f>
        <v/>
      </c>
      <c r="AV53" s="225" t="str">
        <f>IF(COUNT($AA$26:$AA$27)&lt;2,"",$AA$27)</f>
        <v/>
      </c>
      <c r="AW53" s="226" t="str">
        <f t="shared" si="3"/>
        <v/>
      </c>
      <c r="AX53" s="225" t="str">
        <f>IF(COUNT($AA$26:$AA$27)&lt;2,"",SUM($AB$26:$AD$26))</f>
        <v/>
      </c>
      <c r="AY53" s="227" t="str">
        <f>IF(COUNT($AA$26:$AA$27)&lt;2,"",SUM($AB$27:$AD$27))</f>
        <v/>
      </c>
      <c r="AZ53" s="228" t="str">
        <f t="shared" si="2"/>
        <v/>
      </c>
    </row>
    <row r="54" spans="2:54" ht="15.75" hidden="1" thickBot="1">
      <c r="H54" s="126"/>
      <c r="I54" s="317" t="str">
        <f>IF(I35="1ª Meia Final-Jogador2",CONCATENATE("Vencido do jogo ",H35),IF(I35=C34,C36,C34))</f>
        <v>Vencido do jogo 26</v>
      </c>
      <c r="J54" s="317"/>
      <c r="K54" s="318"/>
      <c r="L54" s="69"/>
      <c r="M54" s="69"/>
      <c r="N54" s="70"/>
      <c r="O54" s="38" t="str">
        <f>IF(COUNT(L54:N54)&lt;1,"",IF(SUM(IF(L50&lt;L54,1,0),IF(M50&lt;M54,1,0),IF(N50&lt;N54,1,0))&gt;2,"??",SUM(IF(L50&lt;L54,1,0),IF(M50&lt;M54,1,0),IF(N50&lt;N54,1,0))))</f>
        <v/>
      </c>
      <c r="P54" s="319" t="str">
        <f>IF(P52="Disputa 5º/6º Jogador1","Disputa 7º/8º  Jogador1",IF(P52=I50,I54,I50))</f>
        <v>Disputa 7º/8º  Jogador1</v>
      </c>
      <c r="Q54" s="352"/>
      <c r="R54" s="353"/>
      <c r="S54" s="69"/>
      <c r="T54" s="69"/>
      <c r="U54" s="69"/>
      <c r="V54" s="49" t="str">
        <f>IF(COUNT(S54:U54)&lt;1,"",IF(SUM(IF(S54&gt;S58,1,0),IF(T54&gt;T58,1,0),IF(U54&gt;U58,1,0))&gt;2,"??",SUM(IF(S54&gt;S58,1,0),IF(T54&gt;T58,1,0),IF(U54&gt;U58,1,0))))</f>
        <v/>
      </c>
      <c r="W54" s="50"/>
      <c r="X54" s="48"/>
      <c r="Y54" s="53"/>
      <c r="Z54" s="53"/>
      <c r="AA54" s="53"/>
      <c r="AB54" s="53"/>
      <c r="AC54" s="53"/>
      <c r="AD54" s="54"/>
      <c r="AE54" s="113"/>
      <c r="AN54" s="229">
        <f>IF($X26="","",$X26)</f>
        <v>24</v>
      </c>
      <c r="AO54" s="230" t="str">
        <f t="shared" si="8"/>
        <v>Grupo D</v>
      </c>
      <c r="AP54" s="354" t="str">
        <f>IF($Y$27="","",$Y$27)</f>
        <v>F Moreira/H Ribeiro (Norte)</v>
      </c>
      <c r="AQ54" s="355" t="str">
        <f t="shared" si="7"/>
        <v>Grupo A</v>
      </c>
      <c r="AR54" s="355" t="str">
        <f t="shared" si="7"/>
        <v>Grupo A</v>
      </c>
      <c r="AS54" s="356" t="str">
        <f t="shared" si="7"/>
        <v>Grupo A</v>
      </c>
      <c r="AT54" s="231" t="str">
        <f>IF(COUNT($AA$26:$AA$27)&lt;2,"",IF($AA$26&lt;$AA$27,"V",IF($AA$26&gt;$AA$27,"D","Empate??")))</f>
        <v/>
      </c>
      <c r="AU54" s="232" t="str">
        <f>IF(COUNT($AA$26:$AA$27)&lt;2,"",$AA$27)</f>
        <v/>
      </c>
      <c r="AV54" s="233" t="str">
        <f>IF(COUNT($AA$26:$AA$27)&lt;2,"",$AA$26)</f>
        <v/>
      </c>
      <c r="AW54" s="234" t="str">
        <f t="shared" si="3"/>
        <v/>
      </c>
      <c r="AX54" s="233" t="str">
        <f>IF(COUNT($AA$26:$AA$27)&lt;2,"",SUM($AB$27:$AD$27))</f>
        <v/>
      </c>
      <c r="AY54" s="235" t="str">
        <f>IF(COUNT($AA$26:$AA$27)&lt;2,"",SUM($AB$26:$AD$26))</f>
        <v/>
      </c>
      <c r="AZ54" s="236" t="str">
        <f t="shared" si="2"/>
        <v/>
      </c>
    </row>
    <row r="55" spans="2:54" ht="12.75" hidden="1" customHeight="1">
      <c r="H55" s="126"/>
      <c r="I55" s="55"/>
      <c r="J55" s="40"/>
      <c r="K55" s="59"/>
      <c r="L55" s="46"/>
      <c r="M55" s="42"/>
      <c r="N55" s="42"/>
      <c r="O55" s="42"/>
      <c r="P55" s="55"/>
      <c r="Q55" s="51"/>
      <c r="R55" s="46"/>
      <c r="S55" s="46"/>
      <c r="T55" s="41"/>
      <c r="U55" s="41"/>
      <c r="V55" s="52"/>
      <c r="W55" s="50"/>
      <c r="X55" s="48"/>
      <c r="Y55" s="53"/>
      <c r="Z55" s="53"/>
      <c r="AA55" s="53"/>
      <c r="AB55" s="53"/>
      <c r="AC55" s="53"/>
      <c r="AD55" s="54"/>
      <c r="AE55" s="113"/>
      <c r="AN55" s="250"/>
      <c r="AO55" s="295"/>
      <c r="AP55" s="295"/>
      <c r="AQ55" s="237"/>
      <c r="AR55" s="238"/>
      <c r="AS55" s="295"/>
      <c r="AT55" s="239"/>
      <c r="AU55" s="180"/>
      <c r="AV55" s="180"/>
      <c r="AW55" s="239"/>
      <c r="AX55" s="180"/>
      <c r="AY55" s="180"/>
      <c r="AZ55" s="239"/>
      <c r="BA55" s="108"/>
      <c r="BB55" s="108"/>
    </row>
    <row r="56" spans="2:54" ht="15.75" hidden="1">
      <c r="H56" s="126"/>
      <c r="I56" s="55"/>
      <c r="J56" s="40"/>
      <c r="K56" s="59"/>
      <c r="L56" s="55"/>
      <c r="M56" s="42"/>
      <c r="N56" s="42"/>
      <c r="O56" s="42"/>
      <c r="P56" s="345" t="str">
        <f>IF(OR(V54="",V58="")=TRUE,"7º Classificado",IF(V54&gt;V58,P54,P58))</f>
        <v>7º Classificado</v>
      </c>
      <c r="Q56" s="345"/>
      <c r="R56" s="345"/>
      <c r="S56" s="345"/>
      <c r="T56" s="345"/>
      <c r="U56" s="345"/>
      <c r="V56" s="65">
        <v>35</v>
      </c>
      <c r="W56" s="66">
        <v>36</v>
      </c>
      <c r="X56" s="329" t="str">
        <f>IF(OR(W52="",W60="")=TRUE,"5º Classificado",IF(W52&gt;W60,P52,P60))</f>
        <v>5º Classificado</v>
      </c>
      <c r="Y56" s="330"/>
      <c r="Z56" s="330"/>
      <c r="AA56" s="330"/>
      <c r="AB56" s="330"/>
      <c r="AC56" s="330"/>
      <c r="AD56" s="54"/>
      <c r="AE56" s="113"/>
      <c r="AN56" s="250"/>
      <c r="AO56" s="295"/>
      <c r="AP56" s="295"/>
      <c r="AQ56" s="237"/>
      <c r="AR56" s="238"/>
      <c r="AS56" s="295"/>
      <c r="AT56" s="239"/>
      <c r="AU56" s="180"/>
      <c r="AV56" s="180"/>
      <c r="AW56" s="239"/>
      <c r="AX56" s="180"/>
      <c r="AY56" s="180"/>
      <c r="AZ56" s="239"/>
      <c r="BA56" s="108"/>
      <c r="BB56" s="108"/>
    </row>
    <row r="57" spans="2:54" ht="15" hidden="1">
      <c r="H57" s="126"/>
      <c r="I57" s="55"/>
      <c r="J57" s="40"/>
      <c r="K57" s="59"/>
      <c r="L57" s="55"/>
      <c r="M57" s="42"/>
      <c r="N57" s="42"/>
      <c r="O57" s="42"/>
      <c r="P57" s="55"/>
      <c r="Q57" s="40"/>
      <c r="R57" s="55"/>
      <c r="S57" s="55"/>
      <c r="T57" s="42"/>
      <c r="U57" s="42"/>
      <c r="V57" s="56"/>
      <c r="W57" s="50"/>
      <c r="X57" s="48"/>
      <c r="Y57" s="331"/>
      <c r="Z57" s="331"/>
      <c r="AA57" s="331"/>
      <c r="AB57" s="331"/>
      <c r="AC57" s="331"/>
      <c r="AD57" s="54"/>
      <c r="AE57" s="113"/>
      <c r="AN57" s="250"/>
      <c r="AO57" s="295"/>
      <c r="AP57" s="295"/>
      <c r="AQ57" s="237"/>
      <c r="AR57" s="238"/>
      <c r="AS57" s="295"/>
      <c r="AT57" s="239"/>
      <c r="AU57" s="180"/>
      <c r="AV57" s="180"/>
      <c r="AW57" s="239"/>
      <c r="AX57" s="180"/>
      <c r="AY57" s="180"/>
      <c r="AZ57" s="239"/>
      <c r="BA57" s="108"/>
      <c r="BB57" s="108"/>
    </row>
    <row r="58" spans="2:54" ht="15" hidden="1">
      <c r="H58" s="126"/>
      <c r="I58" s="317" t="str">
        <f>IF(I39="2ª Meia Final-Jogador1",CONCATENATE("Vencido do jogo ",H39),IF(I39=C38,C40,C38))</f>
        <v>Vencido do jogo 27</v>
      </c>
      <c r="J58" s="317"/>
      <c r="K58" s="318"/>
      <c r="L58" s="69"/>
      <c r="M58" s="69"/>
      <c r="N58" s="70"/>
      <c r="O58" s="38" t="str">
        <f>IF(COUNT(L58:N58)&lt;1,"",IF(SUM(IF(L58&gt;L62,1,0),IF(M58&gt;M62,1,0),IF(N58&gt;N62,1,0))&gt;2,"??",SUM(IF(L58&gt;L62,1,0),IF(M58&gt;M62,1,0),IF(N58&gt;N62,1,0))))</f>
        <v/>
      </c>
      <c r="P58" s="319" t="str">
        <f>IF(P60="Disputa 5º/6º Jogador2","Disputa 7º/8º  Jogador2",IF(P60=I58,I62,I58))</f>
        <v>Disputa 7º/8º  Jogador2</v>
      </c>
      <c r="Q58" s="320"/>
      <c r="R58" s="321"/>
      <c r="S58" s="69"/>
      <c r="T58" s="69"/>
      <c r="U58" s="69"/>
      <c r="V58" s="49" t="str">
        <f>IF(COUNT(S58:U58)&lt;1,"",IF(SUM(IF(S54&lt;S58,1,0),IF(T54&lt;T58,1,0),IF(U54&lt;U58,1,0))&gt;2,"??",SUM(IF(S54&lt;S58,1,0),IF(T54&lt;T58,1,0),IF(U54&lt;U58,1,0))))</f>
        <v/>
      </c>
      <c r="W58" s="50"/>
      <c r="X58" s="48"/>
      <c r="Y58" s="53"/>
      <c r="Z58" s="53"/>
      <c r="AA58" s="53"/>
      <c r="AB58" s="57"/>
      <c r="AC58" s="57"/>
      <c r="AD58" s="58"/>
      <c r="AE58" s="113"/>
      <c r="AN58" s="250"/>
      <c r="AO58" s="295"/>
      <c r="AP58" s="295"/>
      <c r="AQ58" s="237"/>
      <c r="AR58" s="238"/>
      <c r="AS58" s="295"/>
      <c r="AT58" s="239"/>
      <c r="AU58" s="180"/>
      <c r="AV58" s="180"/>
      <c r="AW58" s="239"/>
      <c r="AX58" s="180"/>
      <c r="AY58" s="180"/>
      <c r="AZ58" s="239"/>
      <c r="BA58" s="108"/>
      <c r="BB58" s="108"/>
    </row>
    <row r="59" spans="2:54" hidden="1">
      <c r="H59" s="126"/>
      <c r="I59" s="55"/>
      <c r="J59" s="40"/>
      <c r="K59" s="59"/>
      <c r="L59" s="55"/>
      <c r="M59" s="41"/>
      <c r="N59" s="41"/>
      <c r="O59" s="42"/>
      <c r="P59" s="36"/>
      <c r="Q59" s="51"/>
      <c r="R59" s="46"/>
      <c r="S59" s="55"/>
      <c r="T59" s="42"/>
      <c r="U59" s="42"/>
      <c r="V59" s="67"/>
      <c r="W59" s="50"/>
      <c r="X59" s="48"/>
      <c r="Y59" s="53"/>
      <c r="Z59" s="53"/>
      <c r="AA59" s="53"/>
      <c r="AB59" s="53"/>
      <c r="AC59" s="53"/>
      <c r="AD59" s="54"/>
      <c r="AE59" s="113"/>
    </row>
    <row r="60" spans="2:54" ht="15" hidden="1">
      <c r="H60" s="126"/>
      <c r="I60" s="55"/>
      <c r="J60" s="40"/>
      <c r="K60" s="59"/>
      <c r="L60" s="55"/>
      <c r="M60" s="42"/>
      <c r="N60" s="42"/>
      <c r="O60" s="64">
        <v>34</v>
      </c>
      <c r="P60" s="322" t="str">
        <f>IF(OR(O58="",O62="")=TRUE,"Disputa 5º/6º Jogador2",IF(O58&gt;O62,I58,I62))</f>
        <v>Disputa 5º/6º Jogador2</v>
      </c>
      <c r="Q60" s="317"/>
      <c r="R60" s="317"/>
      <c r="S60" s="318"/>
      <c r="T60" s="69"/>
      <c r="U60" s="69"/>
      <c r="V60" s="69"/>
      <c r="W60" s="45" t="str">
        <f>IF(COUNT(T60:V60)&lt;1,"",IF(SUM(IF(T52&lt;T60,1,0),IF(U52&lt;U60,1,0),IF(V52&lt;V60,1,0))&gt;2,"??",SUM(IF(T52&lt;T60,1,0),IF(U52&lt;U60,1,0),IF(V52&lt;V60,1,0))))</f>
        <v/>
      </c>
      <c r="X60" s="48"/>
      <c r="Y60" s="53"/>
      <c r="Z60" s="53"/>
      <c r="AA60" s="53"/>
      <c r="AB60" s="53"/>
      <c r="AC60" s="53"/>
      <c r="AD60" s="54"/>
      <c r="AE60" s="113"/>
    </row>
    <row r="61" spans="2:54" ht="15" hidden="1" customHeight="1">
      <c r="H61" s="126"/>
      <c r="I61" s="55"/>
      <c r="J61" s="40"/>
      <c r="K61" s="59"/>
      <c r="L61" s="55"/>
      <c r="M61" s="42"/>
      <c r="N61" s="42"/>
      <c r="O61" s="42"/>
      <c r="P61" s="36"/>
      <c r="Q61" s="40"/>
      <c r="R61" s="55"/>
      <c r="S61" s="46"/>
      <c r="T61" s="55"/>
      <c r="U61" s="55"/>
      <c r="V61" s="60"/>
      <c r="W61" s="53"/>
      <c r="X61" s="48"/>
      <c r="Y61" s="53"/>
      <c r="Z61" s="53"/>
      <c r="AA61" s="53"/>
      <c r="AB61" s="53"/>
      <c r="AC61" s="53"/>
      <c r="AD61" s="54"/>
      <c r="AE61" s="113"/>
    </row>
    <row r="62" spans="2:54" ht="15" hidden="1">
      <c r="H62" s="126"/>
      <c r="I62" s="317" t="str">
        <f>IF(I43="2ª Meia Final-Jogador2",CONCATENATE("Vencido do jogo ",H43),IF(I43=C42,C44,C42))</f>
        <v>Vencido do jogo 28</v>
      </c>
      <c r="J62" s="317"/>
      <c r="K62" s="318"/>
      <c r="L62" s="69"/>
      <c r="M62" s="69"/>
      <c r="N62" s="70"/>
      <c r="O62" s="35" t="str">
        <f>IF(COUNT(L62:N62)&lt;1,"",IF(SUM(IF(L58&lt;L62,1,0),IF(M58&lt;M62,1,0),IF(N58&lt;N62,1,0))&gt;2,"??",SUM(IF(L58&lt;L62,1,0),IF(M58&lt;M62,1,0),IF(N58&lt;N62,1,0))))</f>
        <v/>
      </c>
      <c r="P62" s="36"/>
      <c r="Q62" s="40"/>
      <c r="R62" s="55"/>
      <c r="S62" s="55"/>
      <c r="T62" s="55"/>
      <c r="U62" s="55"/>
      <c r="V62" s="55"/>
      <c r="W62" s="54"/>
      <c r="X62" s="68"/>
      <c r="Y62" s="54"/>
      <c r="Z62" s="54"/>
      <c r="AA62" s="54"/>
      <c r="AB62" s="54"/>
      <c r="AC62" s="54"/>
      <c r="AD62" s="54"/>
      <c r="AE62" s="113"/>
    </row>
    <row r="63" spans="2:54" hidden="1">
      <c r="H63" s="128"/>
      <c r="I63" s="168"/>
      <c r="J63" s="169"/>
      <c r="K63" s="168"/>
      <c r="L63" s="170"/>
      <c r="M63" s="168"/>
      <c r="N63" s="168"/>
      <c r="O63" s="168"/>
      <c r="P63" s="168"/>
      <c r="Q63" s="169"/>
      <c r="R63" s="168"/>
      <c r="S63" s="168"/>
      <c r="T63" s="168"/>
      <c r="U63" s="168"/>
      <c r="V63" s="168"/>
      <c r="W63" s="122"/>
      <c r="X63" s="123"/>
      <c r="Y63" s="122"/>
      <c r="Z63" s="122"/>
      <c r="AA63" s="122"/>
      <c r="AB63" s="122"/>
      <c r="AC63" s="122"/>
      <c r="AD63" s="122"/>
      <c r="AE63" s="124"/>
    </row>
    <row r="64" spans="2:54" ht="6" hidden="1" customHeight="1">
      <c r="H64" s="54"/>
    </row>
    <row r="65" spans="4:54" ht="13.5" hidden="1" thickBot="1">
      <c r="D65" s="54"/>
      <c r="H65" s="125"/>
      <c r="I65" s="61"/>
      <c r="J65" s="167"/>
      <c r="K65" s="61"/>
      <c r="L65" s="61"/>
      <c r="M65" s="61"/>
      <c r="N65" s="61"/>
      <c r="O65" s="61"/>
      <c r="P65" s="61"/>
      <c r="Q65" s="167"/>
      <c r="R65" s="61"/>
      <c r="S65" s="61"/>
      <c r="T65" s="61"/>
      <c r="U65" s="61"/>
      <c r="V65" s="61"/>
      <c r="W65" s="61"/>
      <c r="X65" s="167"/>
      <c r="Y65" s="61"/>
      <c r="Z65" s="61"/>
      <c r="AA65" s="61"/>
      <c r="AB65" s="61"/>
      <c r="AC65" s="61"/>
      <c r="AD65" s="61"/>
      <c r="AE65" s="3"/>
      <c r="AN65" s="250"/>
      <c r="AO65" s="295"/>
      <c r="AP65" s="327"/>
      <c r="AQ65" s="327"/>
      <c r="AR65" s="327"/>
      <c r="AS65" s="327"/>
      <c r="AT65" s="239"/>
      <c r="AU65" s="180"/>
      <c r="AV65" s="180"/>
      <c r="AW65" s="239"/>
      <c r="AX65" s="180"/>
      <c r="AY65" s="180"/>
      <c r="AZ65" s="239"/>
    </row>
    <row r="66" spans="4:54" hidden="1">
      <c r="D66" s="54"/>
      <c r="H66" s="126"/>
      <c r="I66" s="336" t="s">
        <v>66</v>
      </c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68"/>
      <c r="Y66" s="337" t="s">
        <v>0</v>
      </c>
      <c r="Z66" s="338"/>
      <c r="AA66" s="338"/>
      <c r="AB66" s="338"/>
      <c r="AC66" s="338"/>
      <c r="AD66" s="339"/>
      <c r="AE66" s="113"/>
      <c r="AN66" s="250"/>
      <c r="AO66" s="295"/>
      <c r="AP66" s="327"/>
      <c r="AQ66" s="327"/>
      <c r="AR66" s="327"/>
      <c r="AS66" s="327"/>
      <c r="AT66" s="239"/>
      <c r="AU66" s="180"/>
      <c r="AV66" s="180"/>
      <c r="AW66" s="239"/>
      <c r="AX66" s="180"/>
      <c r="AY66" s="180"/>
      <c r="AZ66" s="239"/>
    </row>
    <row r="67" spans="4:54" ht="13.5" hidden="1" thickBot="1">
      <c r="D67" s="54"/>
      <c r="H67" s="12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68"/>
      <c r="Y67" s="340"/>
      <c r="Z67" s="341"/>
      <c r="AA67" s="341"/>
      <c r="AB67" s="341"/>
      <c r="AC67" s="341"/>
      <c r="AD67" s="342"/>
      <c r="AE67" s="113"/>
      <c r="AN67" s="250"/>
      <c r="AO67" s="295"/>
      <c r="AP67" s="327"/>
      <c r="AQ67" s="327"/>
      <c r="AR67" s="327"/>
      <c r="AS67" s="327"/>
      <c r="AT67" s="239"/>
      <c r="AU67" s="180"/>
      <c r="AV67" s="180"/>
      <c r="AW67" s="239"/>
      <c r="AX67" s="180"/>
      <c r="AY67" s="180"/>
      <c r="AZ67" s="239"/>
    </row>
    <row r="68" spans="4:54" ht="15.75" hidden="1">
      <c r="H68" s="126"/>
      <c r="I68" s="317" t="str">
        <f>IF(D14="","3º  do Grupo A",D14)</f>
        <v>3º  do Grupo A</v>
      </c>
      <c r="J68" s="317"/>
      <c r="K68" s="318"/>
      <c r="L68" s="69"/>
      <c r="M68" s="69"/>
      <c r="N68" s="70"/>
      <c r="O68" s="38" t="str">
        <f>IF(COUNT(L68:N68)&lt;1,"",IF(SUM(IF(L68&gt;L72,1,0),IF(M68&gt;M72,1,0),IF(N68&gt;N72,1,0))&gt;2,"??",SUM(IF(L68&gt;L72,1,0),IF(M68&gt;M72,1,0),IF(N68&gt;N72,1,0))))</f>
        <v/>
      </c>
      <c r="P68" s="55"/>
      <c r="Q68" s="40"/>
      <c r="R68" s="55"/>
      <c r="S68" s="55"/>
      <c r="T68" s="55"/>
      <c r="U68" s="55"/>
      <c r="V68" s="55"/>
      <c r="W68" s="54"/>
      <c r="X68" s="68"/>
      <c r="Y68" s="343" t="str">
        <f>IF(X74="9º Classificado","",X74)</f>
        <v/>
      </c>
      <c r="Z68" s="344"/>
      <c r="AA68" s="344"/>
      <c r="AB68" s="344"/>
      <c r="AC68" s="344"/>
      <c r="AD68" s="39" t="s">
        <v>67</v>
      </c>
      <c r="AE68" s="113"/>
      <c r="AN68" s="250"/>
      <c r="AO68" s="295"/>
      <c r="AP68" s="327"/>
      <c r="AQ68" s="327"/>
      <c r="AR68" s="327"/>
      <c r="AS68" s="327"/>
      <c r="AT68" s="239"/>
      <c r="AU68" s="180"/>
      <c r="AV68" s="180"/>
      <c r="AW68" s="239"/>
      <c r="AX68" s="180"/>
      <c r="AY68" s="180"/>
      <c r="AZ68" s="239"/>
    </row>
    <row r="69" spans="4:54" ht="15" hidden="1" customHeight="1">
      <c r="H69" s="126"/>
      <c r="I69" s="55"/>
      <c r="J69" s="40"/>
      <c r="K69" s="59"/>
      <c r="L69" s="55"/>
      <c r="M69" s="41"/>
      <c r="N69" s="41"/>
      <c r="O69" s="42"/>
      <c r="P69" s="36"/>
      <c r="Q69" s="40"/>
      <c r="R69" s="55"/>
      <c r="S69" s="55"/>
      <c r="T69" s="55"/>
      <c r="U69" s="55"/>
      <c r="V69" s="60"/>
      <c r="W69" s="53"/>
      <c r="X69" s="48"/>
      <c r="Y69" s="332" t="str">
        <f>IF(Y68="","",IF(Y68=P70,P78,P70))</f>
        <v/>
      </c>
      <c r="Z69" s="333" t="e">
        <f>IF(#REF!="","",IF(#REF!=W69,"","(2º) "))</f>
        <v>#REF!</v>
      </c>
      <c r="AA69" s="333" t="e">
        <f>IF(#REF!="","",IF(#REF!=X69,"","(2º) "))</f>
        <v>#REF!</v>
      </c>
      <c r="AB69" s="333" t="e">
        <f>IF(#REF!="","",IF(#REF!=Y69,"","(2º) "))</f>
        <v>#REF!</v>
      </c>
      <c r="AC69" s="333" t="e">
        <f>IF(#REF!="","",IF(#REF!=Z69,"","(2º) "))</f>
        <v>#REF!</v>
      </c>
      <c r="AD69" s="43" t="s">
        <v>68</v>
      </c>
      <c r="AE69" s="113"/>
      <c r="AN69" s="250"/>
      <c r="AO69" s="295"/>
      <c r="AP69" s="327"/>
      <c r="AQ69" s="327"/>
      <c r="AR69" s="327"/>
      <c r="AS69" s="327"/>
      <c r="AT69" s="239"/>
      <c r="AU69" s="180"/>
      <c r="AV69" s="180"/>
      <c r="AW69" s="239"/>
      <c r="AX69" s="180"/>
      <c r="AY69" s="180"/>
      <c r="AZ69" s="239"/>
    </row>
    <row r="70" spans="4:54" ht="15" hidden="1" customHeight="1">
      <c r="H70" s="126"/>
      <c r="I70" s="55"/>
      <c r="J70" s="40"/>
      <c r="K70" s="59"/>
      <c r="L70" s="55"/>
      <c r="M70" s="42"/>
      <c r="N70" s="42"/>
      <c r="O70" s="64">
        <v>37</v>
      </c>
      <c r="P70" s="322" t="str">
        <f>IF(OR(O68="",O72="")=TRUE,"Disputa 9º/10º Jogador1",IF(O68&gt;O72,I68,I72))</f>
        <v>Disputa 9º/10º Jogador1</v>
      </c>
      <c r="Q70" s="317"/>
      <c r="R70" s="317"/>
      <c r="S70" s="318"/>
      <c r="T70" s="69"/>
      <c r="U70" s="69"/>
      <c r="V70" s="69"/>
      <c r="W70" s="45" t="str">
        <f>IF(COUNT(T70:V70)&lt;1,"",IF(SUM(IF(T70&gt;T78,1,0),IF(U70&gt;U78,1,0),IF(V70&gt;V78,1,0))&gt;2,"??",SUM(IF(T70&gt;T78,1,0),IF(U70&gt;U78,1,0),IF(V70&gt;V78,1,0))))</f>
        <v/>
      </c>
      <c r="X70" s="48"/>
      <c r="Y70" s="332" t="str">
        <f>IF(P74="11º Classificado","",P74)</f>
        <v/>
      </c>
      <c r="Z70" s="333"/>
      <c r="AA70" s="333"/>
      <c r="AB70" s="333"/>
      <c r="AC70" s="333"/>
      <c r="AD70" s="43" t="s">
        <v>69</v>
      </c>
      <c r="AE70" s="113"/>
      <c r="AN70" s="250"/>
      <c r="AO70" s="295"/>
      <c r="AP70" s="327"/>
      <c r="AQ70" s="327"/>
      <c r="AR70" s="327"/>
      <c r="AS70" s="327"/>
      <c r="AT70" s="239"/>
      <c r="AU70" s="180"/>
      <c r="AV70" s="180"/>
      <c r="AW70" s="239"/>
      <c r="AX70" s="180"/>
      <c r="AY70" s="180"/>
      <c r="AZ70" s="239"/>
    </row>
    <row r="71" spans="4:54" ht="15.75" hidden="1" thickBot="1">
      <c r="H71" s="126"/>
      <c r="I71" s="55"/>
      <c r="J71" s="40"/>
      <c r="K71" s="59"/>
      <c r="L71" s="55"/>
      <c r="M71" s="42"/>
      <c r="N71" s="42"/>
      <c r="O71" s="42"/>
      <c r="P71" s="36"/>
      <c r="Q71" s="40"/>
      <c r="R71" s="55"/>
      <c r="S71" s="46"/>
      <c r="T71" s="42"/>
      <c r="U71" s="42"/>
      <c r="V71" s="67"/>
      <c r="W71" s="47"/>
      <c r="X71" s="48"/>
      <c r="Y71" s="334" t="str">
        <f>IF(Y70="","",IF(Y70=P72,P76,P72))</f>
        <v/>
      </c>
      <c r="Z71" s="335"/>
      <c r="AA71" s="335"/>
      <c r="AB71" s="335"/>
      <c r="AC71" s="335"/>
      <c r="AD71" s="164" t="s">
        <v>70</v>
      </c>
      <c r="AE71" s="113"/>
      <c r="AN71" s="250"/>
      <c r="AO71" s="295"/>
      <c r="AP71" s="327"/>
      <c r="AQ71" s="327"/>
      <c r="AR71" s="327"/>
      <c r="AS71" s="327"/>
      <c r="AT71" s="239"/>
      <c r="AU71" s="180"/>
      <c r="AV71" s="180"/>
      <c r="AW71" s="239"/>
      <c r="AX71" s="180"/>
      <c r="AY71" s="180"/>
      <c r="AZ71" s="239"/>
    </row>
    <row r="72" spans="4:54" ht="15" hidden="1">
      <c r="H72" s="126"/>
      <c r="I72" s="317" t="str">
        <f>IF(K14="","3º  do Grupo B",K14)</f>
        <v>3º  do Grupo B</v>
      </c>
      <c r="J72" s="317"/>
      <c r="K72" s="318"/>
      <c r="L72" s="69"/>
      <c r="M72" s="69"/>
      <c r="N72" s="70"/>
      <c r="O72" s="35" t="str">
        <f>IF(COUNT(L72:N72)&lt;1,"",IF(SUM(IF(L68&lt;L72,1,0),IF(M68&lt;M72,1,0),IF(N68&lt;N72,1,0))&gt;2,"??",SUM(IF(L68&lt;L72,1,0),IF(M68&lt;M72,1,0),IF(N68&lt;N72,1,0))))</f>
        <v/>
      </c>
      <c r="P72" s="324" t="str">
        <f>IF(P70="Disputa 9º/10º Jogador1","Disputa 11º/12º  Jogador1",IF(P70=I68,I72,I68))</f>
        <v>Disputa 11º/12º  Jogador1</v>
      </c>
      <c r="Q72" s="325"/>
      <c r="R72" s="326"/>
      <c r="S72" s="69"/>
      <c r="T72" s="69"/>
      <c r="U72" s="69"/>
      <c r="V72" s="49" t="str">
        <f>IF(COUNT(S72:U72)&lt;1,"",IF(SUM(IF(S72&gt;S76,1,0),IF(T72&gt;T76,1,0),IF(U72&gt;U76,1,0))&gt;2,"??",SUM(IF(S72&gt;S76,1,0),IF(T72&gt;T76,1,0),IF(U72&gt;U76,1,0))))</f>
        <v/>
      </c>
      <c r="W72" s="50"/>
      <c r="X72" s="48"/>
      <c r="Y72" s="53"/>
      <c r="Z72" s="53"/>
      <c r="AA72" s="53"/>
      <c r="AB72" s="53"/>
      <c r="AC72" s="53"/>
      <c r="AD72" s="54"/>
      <c r="AE72" s="113"/>
      <c r="AN72" s="250"/>
      <c r="AO72" s="295"/>
      <c r="AP72" s="327"/>
      <c r="AQ72" s="327"/>
      <c r="AR72" s="327"/>
      <c r="AS72" s="327"/>
      <c r="AT72" s="239"/>
      <c r="AU72" s="180"/>
      <c r="AV72" s="180"/>
      <c r="AW72" s="239"/>
      <c r="AX72" s="180"/>
      <c r="AY72" s="180"/>
      <c r="AZ72" s="239"/>
    </row>
    <row r="73" spans="4:54" ht="12.75" hidden="1" customHeight="1">
      <c r="H73" s="126"/>
      <c r="I73" s="55"/>
      <c r="J73" s="40"/>
      <c r="K73" s="59"/>
      <c r="L73" s="46"/>
      <c r="M73" s="42"/>
      <c r="N73" s="42"/>
      <c r="O73" s="42"/>
      <c r="P73" s="55"/>
      <c r="Q73" s="51"/>
      <c r="R73" s="46"/>
      <c r="S73" s="46"/>
      <c r="T73" s="41"/>
      <c r="U73" s="41"/>
      <c r="V73" s="52"/>
      <c r="W73" s="50"/>
      <c r="X73" s="48"/>
      <c r="Y73" s="53"/>
      <c r="Z73" s="53"/>
      <c r="AA73" s="53"/>
      <c r="AB73" s="53"/>
      <c r="AC73" s="53"/>
      <c r="AD73" s="54"/>
      <c r="AE73" s="113"/>
      <c r="AN73" s="250"/>
      <c r="AO73" s="295"/>
      <c r="AP73" s="295"/>
      <c r="AQ73" s="237"/>
      <c r="AR73" s="238"/>
      <c r="AS73" s="295"/>
      <c r="AT73" s="239"/>
      <c r="AU73" s="180"/>
      <c r="AV73" s="180"/>
      <c r="AW73" s="239"/>
      <c r="AX73" s="180"/>
      <c r="AY73" s="180"/>
      <c r="AZ73" s="239"/>
      <c r="BA73" s="108"/>
      <c r="BB73" s="108"/>
    </row>
    <row r="74" spans="4:54" ht="15.75" hidden="1">
      <c r="H74" s="126"/>
      <c r="I74" s="55"/>
      <c r="J74" s="40"/>
      <c r="K74" s="59"/>
      <c r="L74" s="55"/>
      <c r="M74" s="42"/>
      <c r="N74" s="42"/>
      <c r="O74" s="42"/>
      <c r="P74" s="328" t="str">
        <f>IF(OR(V72="",V76="")=TRUE,"11º Classificado",IF(V72&gt;V76,P72,P76))</f>
        <v>11º Classificado</v>
      </c>
      <c r="Q74" s="328"/>
      <c r="R74" s="328"/>
      <c r="S74" s="328"/>
      <c r="T74" s="328"/>
      <c r="U74" s="328"/>
      <c r="V74" s="65">
        <v>39</v>
      </c>
      <c r="W74" s="66">
        <v>40</v>
      </c>
      <c r="X74" s="329" t="str">
        <f>IF(OR(W70="",W78="")=TRUE,"9º Classificado",IF(W70&gt;W78,P70,P78))</f>
        <v>9º Classificado</v>
      </c>
      <c r="Y74" s="330"/>
      <c r="Z74" s="330"/>
      <c r="AA74" s="330"/>
      <c r="AB74" s="330"/>
      <c r="AC74" s="330"/>
      <c r="AD74" s="54"/>
      <c r="AE74" s="113"/>
      <c r="AN74" s="250"/>
      <c r="AO74" s="295"/>
      <c r="AP74" s="295"/>
      <c r="AQ74" s="237"/>
      <c r="AR74" s="238"/>
      <c r="AS74" s="295"/>
      <c r="AT74" s="239"/>
      <c r="AU74" s="180"/>
      <c r="AV74" s="180"/>
      <c r="AW74" s="239"/>
      <c r="AX74" s="180"/>
      <c r="AY74" s="180"/>
      <c r="AZ74" s="239"/>
      <c r="BA74" s="108"/>
      <c r="BB74" s="108"/>
    </row>
    <row r="75" spans="4:54" ht="15" hidden="1">
      <c r="H75" s="126"/>
      <c r="I75" s="55"/>
      <c r="J75" s="40"/>
      <c r="K75" s="59"/>
      <c r="L75" s="55"/>
      <c r="M75" s="42"/>
      <c r="N75" s="42"/>
      <c r="O75" s="42"/>
      <c r="P75" s="55"/>
      <c r="Q75" s="40"/>
      <c r="R75" s="55"/>
      <c r="S75" s="55"/>
      <c r="T75" s="42"/>
      <c r="U75" s="42"/>
      <c r="V75" s="56"/>
      <c r="W75" s="50"/>
      <c r="X75" s="48"/>
      <c r="Y75" s="331"/>
      <c r="Z75" s="331"/>
      <c r="AA75" s="331"/>
      <c r="AB75" s="331"/>
      <c r="AC75" s="331"/>
      <c r="AD75" s="54"/>
      <c r="AE75" s="113"/>
      <c r="AN75" s="250"/>
      <c r="AO75" s="295"/>
      <c r="AP75" s="295"/>
      <c r="AQ75" s="237"/>
      <c r="AR75" s="238"/>
      <c r="AS75" s="295"/>
      <c r="AT75" s="239"/>
      <c r="AU75" s="180"/>
      <c r="AV75" s="180"/>
      <c r="AW75" s="239"/>
      <c r="AX75" s="180"/>
      <c r="AY75" s="180"/>
      <c r="AZ75" s="239"/>
      <c r="BA75" s="108"/>
      <c r="BB75" s="108"/>
    </row>
    <row r="76" spans="4:54" ht="15" hidden="1">
      <c r="H76" s="126"/>
      <c r="I76" s="317" t="str">
        <f>IF(R14="","3º  do Grupo C",R14)</f>
        <v>3º  do Grupo C</v>
      </c>
      <c r="J76" s="317"/>
      <c r="K76" s="318"/>
      <c r="L76" s="69"/>
      <c r="M76" s="69"/>
      <c r="N76" s="70"/>
      <c r="O76" s="38" t="str">
        <f>IF(COUNT(L76:N76)&lt;1,"",IF(SUM(IF(L76&gt;L80,1,0),IF(M76&gt;M80,1,0),IF(N76&gt;N80,1,0))&gt;2,"??",SUM(IF(L76&gt;L80,1,0),IF(M76&gt;M80,1,0),IF(N76&gt;N80,1,0))))</f>
        <v/>
      </c>
      <c r="P76" s="319" t="str">
        <f>IF(P78="Disputa 9º/10º Jogador2","Disputa 11º/12º  Jogador2",IF(P78=I76,I80,I76))</f>
        <v>Disputa 11º/12º  Jogador2</v>
      </c>
      <c r="Q76" s="320"/>
      <c r="R76" s="321"/>
      <c r="S76" s="69"/>
      <c r="T76" s="69"/>
      <c r="U76" s="69"/>
      <c r="V76" s="49" t="str">
        <f>IF(COUNT(S76:U76)&lt;1,"",IF(SUM(IF(S72&lt;S76,1,0),IF(T72&lt;T76,1,0),IF(U72&lt;U76,1,0))&gt;2,"??",SUM(IF(S72&lt;S76,1,0),IF(T72&lt;T76,1,0),IF(U72&lt;U76,1,0))))</f>
        <v/>
      </c>
      <c r="W76" s="50"/>
      <c r="X76" s="48"/>
      <c r="Y76" s="53"/>
      <c r="Z76" s="53"/>
      <c r="AA76" s="53"/>
      <c r="AB76" s="57"/>
      <c r="AC76" s="57"/>
      <c r="AD76" s="58"/>
      <c r="AE76" s="113"/>
      <c r="AN76" s="250"/>
      <c r="AO76" s="295"/>
      <c r="AP76" s="295"/>
      <c r="AQ76" s="237"/>
      <c r="AR76" s="238"/>
      <c r="AS76" s="295"/>
      <c r="AT76" s="239"/>
      <c r="AU76" s="180"/>
      <c r="AV76" s="180"/>
      <c r="AW76" s="239"/>
      <c r="AX76" s="180"/>
      <c r="AY76" s="180"/>
      <c r="AZ76" s="239"/>
      <c r="BA76" s="108"/>
      <c r="BB76" s="108"/>
    </row>
    <row r="77" spans="4:54" hidden="1">
      <c r="H77" s="126"/>
      <c r="I77" s="55"/>
      <c r="J77" s="40"/>
      <c r="K77" s="59"/>
      <c r="L77" s="55"/>
      <c r="M77" s="41"/>
      <c r="N77" s="41"/>
      <c r="O77" s="42"/>
      <c r="P77" s="36"/>
      <c r="Q77" s="51"/>
      <c r="R77" s="46"/>
      <c r="S77" s="55"/>
      <c r="T77" s="42"/>
      <c r="U77" s="42"/>
      <c r="V77" s="67"/>
      <c r="W77" s="50"/>
      <c r="X77" s="48"/>
      <c r="Y77" s="53"/>
      <c r="Z77" s="53"/>
      <c r="AA77" s="53"/>
      <c r="AB77" s="53"/>
      <c r="AC77" s="53"/>
      <c r="AD77" s="54"/>
      <c r="AE77" s="113"/>
    </row>
    <row r="78" spans="4:54" ht="15" hidden="1">
      <c r="H78" s="126"/>
      <c r="I78" s="55"/>
      <c r="J78" s="40"/>
      <c r="K78" s="59"/>
      <c r="L78" s="55"/>
      <c r="M78" s="42"/>
      <c r="N78" s="42"/>
      <c r="O78" s="64">
        <v>38</v>
      </c>
      <c r="P78" s="322" t="str">
        <f>IF(OR(O76="",O80="")=TRUE,"Disputa 9º/10º Jogador2",IF(O76&gt;O80,I76,I80))</f>
        <v>Disputa 9º/10º Jogador2</v>
      </c>
      <c r="Q78" s="317"/>
      <c r="R78" s="317"/>
      <c r="S78" s="318"/>
      <c r="T78" s="69"/>
      <c r="U78" s="69"/>
      <c r="V78" s="69"/>
      <c r="W78" s="45" t="str">
        <f>IF(COUNT(T78:V78)&lt;1,"",IF(SUM(IF(T70&lt;T78,1,0),IF(U70&lt;U78,1,0),IF(V70&lt;V78,1,0))&gt;2,"??",SUM(IF(T70&lt;T78,1,0),IF(U70&lt;U78,1,0),IF(V70&lt;V78,1,0))))</f>
        <v/>
      </c>
      <c r="X78" s="48"/>
      <c r="Y78" s="53"/>
      <c r="Z78" s="53"/>
      <c r="AA78" s="53"/>
      <c r="AB78" s="53"/>
      <c r="AC78" s="53"/>
      <c r="AD78" s="54"/>
      <c r="AE78" s="113"/>
    </row>
    <row r="79" spans="4:54" ht="15" hidden="1" customHeight="1">
      <c r="H79" s="126"/>
      <c r="I79" s="55"/>
      <c r="J79" s="40"/>
      <c r="K79" s="59"/>
      <c r="L79" s="55"/>
      <c r="M79" s="42"/>
      <c r="N79" s="42"/>
      <c r="O79" s="42"/>
      <c r="P79" s="36"/>
      <c r="Q79" s="40"/>
      <c r="R79" s="55"/>
      <c r="S79" s="46"/>
      <c r="T79" s="55"/>
      <c r="U79" s="55"/>
      <c r="V79" s="60"/>
      <c r="W79" s="53"/>
      <c r="X79" s="48"/>
      <c r="Y79" s="53"/>
      <c r="Z79" s="53"/>
      <c r="AA79" s="53"/>
      <c r="AB79" s="53"/>
      <c r="AC79" s="53"/>
      <c r="AD79" s="54"/>
      <c r="AE79" s="113"/>
    </row>
    <row r="80" spans="4:54" ht="15" hidden="1">
      <c r="H80" s="126"/>
      <c r="I80" s="317" t="str">
        <f>IF(Y14="","3º  do Grupo D",Y14)</f>
        <v>3º  do Grupo D</v>
      </c>
      <c r="J80" s="317"/>
      <c r="K80" s="318"/>
      <c r="L80" s="69"/>
      <c r="M80" s="69"/>
      <c r="N80" s="70"/>
      <c r="O80" s="35" t="str">
        <f>IF(COUNT(L80:N80)&lt;1,"",IF(SUM(IF(L76&lt;L80,1,0),IF(M76&lt;M80,1,0),IF(N76&lt;N80,1,0))&gt;2,"??",SUM(IF(L76&lt;L80,1,0),IF(M76&lt;M80,1,0),IF(N76&lt;N80,1,0))))</f>
        <v/>
      </c>
      <c r="P80" s="36"/>
      <c r="Q80" s="40"/>
      <c r="R80" s="55"/>
      <c r="S80" s="55"/>
      <c r="T80" s="55"/>
      <c r="U80" s="55"/>
      <c r="V80" s="55"/>
      <c r="W80" s="54"/>
      <c r="X80" s="68"/>
      <c r="Y80" s="54"/>
      <c r="Z80" s="54"/>
      <c r="AA80" s="54"/>
      <c r="AB80" s="54"/>
      <c r="AC80" s="54"/>
      <c r="AD80" s="54"/>
      <c r="AE80" s="113"/>
    </row>
    <row r="81" spans="4:54" hidden="1">
      <c r="H81" s="128"/>
      <c r="I81" s="168"/>
      <c r="J81" s="169"/>
      <c r="K81" s="168"/>
      <c r="L81" s="170"/>
      <c r="M81" s="168"/>
      <c r="N81" s="168"/>
      <c r="O81" s="168"/>
      <c r="P81" s="168"/>
      <c r="Q81" s="169"/>
      <c r="R81" s="168"/>
      <c r="S81" s="168"/>
      <c r="T81" s="168"/>
      <c r="U81" s="168"/>
      <c r="V81" s="168"/>
      <c r="W81" s="122"/>
      <c r="X81" s="123"/>
      <c r="Y81" s="122"/>
      <c r="Z81" s="122"/>
      <c r="AA81" s="122"/>
      <c r="AB81" s="122"/>
      <c r="AC81" s="122"/>
      <c r="AD81" s="122"/>
      <c r="AE81" s="124"/>
    </row>
    <row r="82" spans="4:54" ht="6" hidden="1" customHeight="1">
      <c r="H82" s="54"/>
    </row>
    <row r="83" spans="4:54" hidden="1">
      <c r="D83" s="54"/>
      <c r="H83" s="125"/>
      <c r="I83" s="61"/>
      <c r="J83" s="167"/>
      <c r="K83" s="61"/>
      <c r="L83" s="61"/>
      <c r="M83" s="61"/>
      <c r="N83" s="61"/>
      <c r="O83" s="61"/>
      <c r="P83" s="61"/>
      <c r="Q83" s="167"/>
      <c r="R83" s="61"/>
      <c r="S83" s="61"/>
      <c r="T83" s="61"/>
      <c r="U83" s="61"/>
      <c r="V83" s="61"/>
      <c r="W83" s="61"/>
      <c r="X83" s="167"/>
      <c r="Y83" s="61"/>
      <c r="Z83" s="61"/>
      <c r="AA83" s="61"/>
      <c r="AB83" s="61"/>
      <c r="AC83" s="61"/>
      <c r="AD83" s="61"/>
      <c r="AE83" s="3"/>
      <c r="AN83" s="250"/>
      <c r="AO83" s="295"/>
      <c r="AP83" s="327"/>
      <c r="AQ83" s="327"/>
      <c r="AR83" s="327"/>
      <c r="AS83" s="327"/>
      <c r="AT83" s="239"/>
      <c r="AU83" s="180"/>
      <c r="AV83" s="180"/>
      <c r="AW83" s="239"/>
      <c r="AX83" s="180"/>
      <c r="AY83" s="180"/>
      <c r="AZ83" s="239"/>
    </row>
    <row r="84" spans="4:54" hidden="1">
      <c r="D84" s="54"/>
      <c r="H84" s="126"/>
      <c r="I84" s="336" t="s">
        <v>231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68"/>
      <c r="Y84" s="337" t="s">
        <v>0</v>
      </c>
      <c r="Z84" s="338"/>
      <c r="AA84" s="338"/>
      <c r="AB84" s="338"/>
      <c r="AC84" s="338"/>
      <c r="AD84" s="339"/>
      <c r="AE84" s="113"/>
      <c r="AN84" s="250"/>
      <c r="AO84" s="295"/>
      <c r="AP84" s="327"/>
      <c r="AQ84" s="327"/>
      <c r="AR84" s="327"/>
      <c r="AS84" s="327"/>
      <c r="AT84" s="239"/>
      <c r="AU84" s="180"/>
      <c r="AV84" s="180"/>
      <c r="AW84" s="239"/>
      <c r="AX84" s="180"/>
      <c r="AY84" s="180"/>
      <c r="AZ84" s="239"/>
    </row>
    <row r="85" spans="4:54" ht="13.5" hidden="1" thickBot="1">
      <c r="D85" s="54"/>
      <c r="H85" s="12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68"/>
      <c r="Y85" s="340"/>
      <c r="Z85" s="341"/>
      <c r="AA85" s="341"/>
      <c r="AB85" s="341"/>
      <c r="AC85" s="341"/>
      <c r="AD85" s="342"/>
      <c r="AE85" s="113"/>
      <c r="AN85" s="250"/>
      <c r="AO85" s="295"/>
      <c r="AP85" s="327"/>
      <c r="AQ85" s="327"/>
      <c r="AR85" s="327"/>
      <c r="AS85" s="327"/>
      <c r="AT85" s="239"/>
      <c r="AU85" s="180"/>
      <c r="AV85" s="180"/>
      <c r="AW85" s="239"/>
      <c r="AX85" s="180"/>
      <c r="AY85" s="180"/>
      <c r="AZ85" s="239"/>
    </row>
    <row r="86" spans="4:54" ht="15.75" hidden="1">
      <c r="H86" s="126"/>
      <c r="I86" s="317" t="str">
        <f>IF(D15="","4º  do Grupo A",D15)</f>
        <v>4º  do Grupo A</v>
      </c>
      <c r="J86" s="317"/>
      <c r="K86" s="318"/>
      <c r="L86" s="69"/>
      <c r="M86" s="69"/>
      <c r="N86" s="70"/>
      <c r="O86" s="38" t="str">
        <f>IF(COUNT(L86:N86)&lt;1,"",IF(SUM(IF(L86&gt;L90,1,0),IF(M86&gt;M90,1,0),IF(N86&gt;N90,1,0))&gt;2,"??",SUM(IF(L86&gt;L90,1,0),IF(M86&gt;M90,1,0),IF(N86&gt;N90,1,0))))</f>
        <v/>
      </c>
      <c r="P86" s="55"/>
      <c r="Q86" s="40"/>
      <c r="R86" s="55"/>
      <c r="S86" s="55"/>
      <c r="T86" s="55"/>
      <c r="U86" s="55"/>
      <c r="V86" s="55"/>
      <c r="W86" s="54"/>
      <c r="X86" s="68"/>
      <c r="Y86" s="343" t="str">
        <f>IF(X92="13º Classificado","",X92)</f>
        <v/>
      </c>
      <c r="Z86" s="344"/>
      <c r="AA86" s="344"/>
      <c r="AB86" s="344"/>
      <c r="AC86" s="344"/>
      <c r="AD86" s="39" t="s">
        <v>232</v>
      </c>
      <c r="AE86" s="113"/>
      <c r="AN86" s="250"/>
      <c r="AO86" s="295"/>
      <c r="AP86" s="327"/>
      <c r="AQ86" s="327"/>
      <c r="AR86" s="327"/>
      <c r="AS86" s="327"/>
      <c r="AT86" s="239"/>
      <c r="AU86" s="180"/>
      <c r="AV86" s="180"/>
      <c r="AW86" s="239"/>
      <c r="AX86" s="180"/>
      <c r="AY86" s="180"/>
      <c r="AZ86" s="239"/>
    </row>
    <row r="87" spans="4:54" ht="15" hidden="1" customHeight="1">
      <c r="H87" s="126"/>
      <c r="I87" s="55"/>
      <c r="J87" s="40"/>
      <c r="K87" s="59"/>
      <c r="L87" s="55"/>
      <c r="M87" s="41"/>
      <c r="N87" s="41"/>
      <c r="O87" s="42"/>
      <c r="P87" s="36"/>
      <c r="Q87" s="40"/>
      <c r="R87" s="55"/>
      <c r="S87" s="55"/>
      <c r="T87" s="55"/>
      <c r="U87" s="55"/>
      <c r="V87" s="60"/>
      <c r="W87" s="53"/>
      <c r="X87" s="48"/>
      <c r="Y87" s="332" t="str">
        <f>IF(Y86="","",IF(Y86=P88,P96,P88))</f>
        <v/>
      </c>
      <c r="Z87" s="333" t="e">
        <f>IF(#REF!="","",IF(#REF!=W87,"","(2º) "))</f>
        <v>#REF!</v>
      </c>
      <c r="AA87" s="333" t="e">
        <f>IF(#REF!="","",IF(#REF!=X87,"","(2º) "))</f>
        <v>#REF!</v>
      </c>
      <c r="AB87" s="333" t="e">
        <f>IF(#REF!="","",IF(#REF!=Y87,"","(2º) "))</f>
        <v>#REF!</v>
      </c>
      <c r="AC87" s="333" t="e">
        <f>IF(#REF!="","",IF(#REF!=Z87,"","(2º) "))</f>
        <v>#REF!</v>
      </c>
      <c r="AD87" s="43" t="s">
        <v>233</v>
      </c>
      <c r="AE87" s="113"/>
      <c r="AN87" s="250"/>
      <c r="AO87" s="295"/>
      <c r="AP87" s="327"/>
      <c r="AQ87" s="327"/>
      <c r="AR87" s="327"/>
      <c r="AS87" s="327"/>
      <c r="AT87" s="239"/>
      <c r="AU87" s="180"/>
      <c r="AV87" s="180"/>
      <c r="AW87" s="239"/>
      <c r="AX87" s="180"/>
      <c r="AY87" s="180"/>
      <c r="AZ87" s="239"/>
    </row>
    <row r="88" spans="4:54" ht="15" hidden="1" customHeight="1">
      <c r="H88" s="126"/>
      <c r="I88" s="55"/>
      <c r="J88" s="40"/>
      <c r="K88" s="59"/>
      <c r="L88" s="55"/>
      <c r="M88" s="42"/>
      <c r="N88" s="42"/>
      <c r="O88" s="64">
        <v>41</v>
      </c>
      <c r="P88" s="322" t="str">
        <f>IF(OR(O86="",O90="")=TRUE,"Disputa 13º/14º Jogador1",IF(O86&gt;O90,I86,I90))</f>
        <v>Disputa 13º/14º Jogador1</v>
      </c>
      <c r="Q88" s="317"/>
      <c r="R88" s="317"/>
      <c r="S88" s="318"/>
      <c r="T88" s="69"/>
      <c r="U88" s="69"/>
      <c r="V88" s="69"/>
      <c r="W88" s="45" t="str">
        <f>IF(COUNT(T88:V88)&lt;1,"",IF(SUM(IF(T88&gt;T96,1,0),IF(U88&gt;U96,1,0),IF(V88&gt;V96,1,0))&gt;2,"??",SUM(IF(T88&gt;T96,1,0),IF(U88&gt;U96,1,0),IF(V88&gt;V96,1,0))))</f>
        <v/>
      </c>
      <c r="X88" s="48"/>
      <c r="Y88" s="332" t="str">
        <f>IF(P92="15º Classificado","",P92)</f>
        <v/>
      </c>
      <c r="Z88" s="333"/>
      <c r="AA88" s="333"/>
      <c r="AB88" s="333"/>
      <c r="AC88" s="333"/>
      <c r="AD88" s="43" t="s">
        <v>234</v>
      </c>
      <c r="AE88" s="113"/>
      <c r="AN88" s="250"/>
      <c r="AO88" s="295"/>
      <c r="AP88" s="327"/>
      <c r="AQ88" s="327"/>
      <c r="AR88" s="327"/>
      <c r="AS88" s="327"/>
      <c r="AT88" s="239"/>
      <c r="AU88" s="180"/>
      <c r="AV88" s="180"/>
      <c r="AW88" s="239"/>
      <c r="AX88" s="180"/>
      <c r="AY88" s="180"/>
      <c r="AZ88" s="239"/>
    </row>
    <row r="89" spans="4:54" ht="15.75" hidden="1" thickBot="1">
      <c r="H89" s="126"/>
      <c r="I89" s="55"/>
      <c r="J89" s="40"/>
      <c r="K89" s="59"/>
      <c r="L89" s="55"/>
      <c r="M89" s="42"/>
      <c r="N89" s="42"/>
      <c r="O89" s="42"/>
      <c r="P89" s="36"/>
      <c r="Q89" s="40"/>
      <c r="R89" s="55"/>
      <c r="S89" s="46"/>
      <c r="T89" s="42"/>
      <c r="U89" s="42"/>
      <c r="V89" s="67"/>
      <c r="W89" s="47"/>
      <c r="X89" s="48"/>
      <c r="Y89" s="334" t="str">
        <f>IF(Y88="","",IF(Y88=P90,P94,P90))</f>
        <v/>
      </c>
      <c r="Z89" s="335"/>
      <c r="AA89" s="335"/>
      <c r="AB89" s="335"/>
      <c r="AC89" s="335"/>
      <c r="AD89" s="164" t="s">
        <v>235</v>
      </c>
      <c r="AE89" s="113"/>
      <c r="AN89" s="250"/>
      <c r="AO89" s="295"/>
      <c r="AP89" s="327"/>
      <c r="AQ89" s="327"/>
      <c r="AR89" s="327"/>
      <c r="AS89" s="327"/>
      <c r="AT89" s="239"/>
      <c r="AU89" s="180"/>
      <c r="AV89" s="180"/>
      <c r="AW89" s="239"/>
      <c r="AX89" s="180"/>
      <c r="AY89" s="180"/>
      <c r="AZ89" s="239"/>
    </row>
    <row r="90" spans="4:54" ht="15" hidden="1">
      <c r="H90" s="126"/>
      <c r="I90" s="317" t="str">
        <f>IF(K15="","4º  do Grupo B",K15)</f>
        <v>4º  do Grupo B</v>
      </c>
      <c r="J90" s="317"/>
      <c r="K90" s="318"/>
      <c r="L90" s="69"/>
      <c r="M90" s="69"/>
      <c r="N90" s="70"/>
      <c r="O90" s="35" t="str">
        <f>IF(COUNT(L90:N90)&lt;1,"",IF(SUM(IF(L86&lt;L90,1,0),IF(M86&lt;M90,1,0),IF(N86&lt;N90,1,0))&gt;2,"??",SUM(IF(L86&lt;L90,1,0),IF(M86&lt;M90,1,0),IF(N86&lt;N90,1,0))))</f>
        <v/>
      </c>
      <c r="P90" s="324" t="str">
        <f>IF(P88="Disputa 13º/14º Jogador1","Disputa 15º/16º  Jogador1",IF(P88=I86,I90,I86))</f>
        <v>Disputa 15º/16º  Jogador1</v>
      </c>
      <c r="Q90" s="325"/>
      <c r="R90" s="326"/>
      <c r="S90" s="69"/>
      <c r="T90" s="69"/>
      <c r="U90" s="69"/>
      <c r="V90" s="49" t="str">
        <f>IF(COUNT(S90:U90)&lt;1,"",IF(SUM(IF(S90&gt;S94,1,0),IF(T90&gt;T94,1,0),IF(U90&gt;U94,1,0))&gt;2,"??",SUM(IF(S90&gt;S94,1,0),IF(T90&gt;T94,1,0),IF(U90&gt;U94,1,0))))</f>
        <v/>
      </c>
      <c r="W90" s="50"/>
      <c r="X90" s="48"/>
      <c r="Y90" s="53"/>
      <c r="Z90" s="53"/>
      <c r="AA90" s="53"/>
      <c r="AB90" s="53"/>
      <c r="AC90" s="53"/>
      <c r="AD90" s="54"/>
      <c r="AE90" s="113"/>
      <c r="AN90" s="250"/>
      <c r="AO90" s="295"/>
      <c r="AP90" s="327"/>
      <c r="AQ90" s="327"/>
      <c r="AR90" s="327"/>
      <c r="AS90" s="327"/>
      <c r="AT90" s="239"/>
      <c r="AU90" s="180"/>
      <c r="AV90" s="180"/>
      <c r="AW90" s="239"/>
      <c r="AX90" s="180"/>
      <c r="AY90" s="180"/>
      <c r="AZ90" s="239"/>
    </row>
    <row r="91" spans="4:54" ht="12.75" hidden="1" customHeight="1">
      <c r="H91" s="126"/>
      <c r="I91" s="55"/>
      <c r="J91" s="40"/>
      <c r="K91" s="59"/>
      <c r="L91" s="46"/>
      <c r="M91" s="42"/>
      <c r="N91" s="42"/>
      <c r="O91" s="42"/>
      <c r="P91" s="55"/>
      <c r="Q91" s="51"/>
      <c r="R91" s="46"/>
      <c r="S91" s="46"/>
      <c r="T91" s="41"/>
      <c r="U91" s="41"/>
      <c r="V91" s="52"/>
      <c r="W91" s="50"/>
      <c r="X91" s="48"/>
      <c r="Y91" s="53"/>
      <c r="Z91" s="53"/>
      <c r="AA91" s="53"/>
      <c r="AB91" s="53"/>
      <c r="AC91" s="53"/>
      <c r="AD91" s="54"/>
      <c r="AE91" s="113"/>
      <c r="AN91" s="250"/>
      <c r="AO91" s="295"/>
      <c r="AP91" s="295"/>
      <c r="AQ91" s="237"/>
      <c r="AR91" s="238"/>
      <c r="AS91" s="295"/>
      <c r="AT91" s="239"/>
      <c r="AU91" s="180"/>
      <c r="AV91" s="180"/>
      <c r="AW91" s="239"/>
      <c r="AX91" s="180"/>
      <c r="AY91" s="180"/>
      <c r="AZ91" s="239"/>
      <c r="BA91" s="108"/>
      <c r="BB91" s="108"/>
    </row>
    <row r="92" spans="4:54" ht="15.75" hidden="1">
      <c r="H92" s="126"/>
      <c r="I92" s="55"/>
      <c r="J92" s="40"/>
      <c r="K92" s="59"/>
      <c r="L92" s="55"/>
      <c r="M92" s="42"/>
      <c r="N92" s="42"/>
      <c r="O92" s="42"/>
      <c r="P92" s="328" t="str">
        <f>IF(OR(V90="",V94="")=TRUE,"15º Classificado",IF(V90&gt;V94,P90,P94))</f>
        <v>15º Classificado</v>
      </c>
      <c r="Q92" s="328"/>
      <c r="R92" s="328"/>
      <c r="S92" s="328"/>
      <c r="T92" s="328"/>
      <c r="U92" s="328"/>
      <c r="V92" s="65">
        <v>43</v>
      </c>
      <c r="W92" s="66">
        <v>44</v>
      </c>
      <c r="X92" s="329" t="str">
        <f>IF(OR(W88="",W96="")=TRUE,"13º Classificado",IF(W88&gt;W96,P88,P96))</f>
        <v>13º Classificado</v>
      </c>
      <c r="Y92" s="330"/>
      <c r="Z92" s="330"/>
      <c r="AA92" s="330"/>
      <c r="AB92" s="330"/>
      <c r="AC92" s="330"/>
      <c r="AD92" s="54"/>
      <c r="AE92" s="113"/>
      <c r="AN92" s="250"/>
      <c r="AO92" s="295"/>
      <c r="AP92" s="295"/>
      <c r="AQ92" s="237"/>
      <c r="AR92" s="238"/>
      <c r="AS92" s="295"/>
      <c r="AT92" s="239"/>
      <c r="AU92" s="180"/>
      <c r="AV92" s="180"/>
      <c r="AW92" s="239"/>
      <c r="AX92" s="180"/>
      <c r="AY92" s="180"/>
      <c r="AZ92" s="239"/>
      <c r="BA92" s="108"/>
      <c r="BB92" s="108"/>
    </row>
    <row r="93" spans="4:54" ht="15" hidden="1">
      <c r="H93" s="126"/>
      <c r="I93" s="55"/>
      <c r="J93" s="40"/>
      <c r="K93" s="59"/>
      <c r="L93" s="55"/>
      <c r="M93" s="42"/>
      <c r="N93" s="42"/>
      <c r="O93" s="42"/>
      <c r="P93" s="55"/>
      <c r="Q93" s="40"/>
      <c r="R93" s="55"/>
      <c r="S93" s="55"/>
      <c r="T93" s="42"/>
      <c r="U93" s="42"/>
      <c r="V93" s="56"/>
      <c r="W93" s="50"/>
      <c r="X93" s="48"/>
      <c r="Y93" s="331"/>
      <c r="Z93" s="331"/>
      <c r="AA93" s="331"/>
      <c r="AB93" s="331"/>
      <c r="AC93" s="331"/>
      <c r="AD93" s="54"/>
      <c r="AE93" s="113"/>
      <c r="AN93" s="250"/>
      <c r="AO93" s="295"/>
      <c r="AP93" s="295"/>
      <c r="AQ93" s="237"/>
      <c r="AR93" s="238"/>
      <c r="AS93" s="295"/>
      <c r="AT93" s="239"/>
      <c r="AU93" s="180"/>
      <c r="AV93" s="180"/>
      <c r="AW93" s="239"/>
      <c r="AX93" s="180"/>
      <c r="AY93" s="180"/>
      <c r="AZ93" s="239"/>
      <c r="BA93" s="108"/>
      <c r="BB93" s="108"/>
    </row>
    <row r="94" spans="4:54" ht="15" hidden="1">
      <c r="H94" s="126"/>
      <c r="I94" s="317" t="str">
        <f>IF(R15="","4º  do Grupo C",R15)</f>
        <v>4º  do Grupo C</v>
      </c>
      <c r="J94" s="317"/>
      <c r="K94" s="318"/>
      <c r="L94" s="69"/>
      <c r="M94" s="69"/>
      <c r="N94" s="70"/>
      <c r="O94" s="38" t="str">
        <f>IF(COUNT(L94:N94)&lt;1,"",IF(SUM(IF(L94&gt;L98,1,0),IF(M94&gt;M98,1,0),IF(N94&gt;N98,1,0))&gt;2,"??",SUM(IF(L94&gt;L98,1,0),IF(M94&gt;M98,1,0),IF(N94&gt;N98,1,0))))</f>
        <v/>
      </c>
      <c r="P94" s="319" t="str">
        <f>IF(P96="Disputa 13º/14º Jogador2","Disputa 15º/16º  Jogador2",IF(P96=I94,I98,I94))</f>
        <v>Disputa 15º/16º  Jogador2</v>
      </c>
      <c r="Q94" s="320"/>
      <c r="R94" s="321"/>
      <c r="S94" s="69"/>
      <c r="T94" s="69"/>
      <c r="U94" s="69"/>
      <c r="V94" s="49" t="str">
        <f>IF(COUNT(S94:U94)&lt;1,"",IF(SUM(IF(S90&lt;S94,1,0),IF(T90&lt;T94,1,0),IF(U90&lt;U94,1,0))&gt;2,"??",SUM(IF(S90&lt;S94,1,0),IF(T90&lt;T94,1,0),IF(U90&lt;U94,1,0))))</f>
        <v/>
      </c>
      <c r="W94" s="50"/>
      <c r="X94" s="48"/>
      <c r="Y94" s="53"/>
      <c r="Z94" s="53"/>
      <c r="AA94" s="53"/>
      <c r="AB94" s="57"/>
      <c r="AC94" s="57"/>
      <c r="AD94" s="58"/>
      <c r="AE94" s="113"/>
      <c r="AN94" s="250"/>
      <c r="AO94" s="295"/>
      <c r="AP94" s="295"/>
      <c r="AQ94" s="237"/>
      <c r="AR94" s="238"/>
      <c r="AS94" s="295"/>
      <c r="AT94" s="239"/>
      <c r="AU94" s="180"/>
      <c r="AV94" s="180"/>
      <c r="AW94" s="239"/>
      <c r="AX94" s="180"/>
      <c r="AY94" s="180"/>
      <c r="AZ94" s="239"/>
      <c r="BA94" s="108"/>
      <c r="BB94" s="108"/>
    </row>
    <row r="95" spans="4:54" hidden="1">
      <c r="H95" s="126"/>
      <c r="I95" s="55"/>
      <c r="J95" s="40"/>
      <c r="K95" s="59"/>
      <c r="L95" s="55"/>
      <c r="M95" s="41"/>
      <c r="N95" s="41"/>
      <c r="O95" s="42"/>
      <c r="P95" s="36"/>
      <c r="Q95" s="51"/>
      <c r="R95" s="46"/>
      <c r="S95" s="55"/>
      <c r="T95" s="42"/>
      <c r="U95" s="42"/>
      <c r="V95" s="67"/>
      <c r="W95" s="50"/>
      <c r="X95" s="48"/>
      <c r="Y95" s="53"/>
      <c r="Z95" s="53"/>
      <c r="AA95" s="53"/>
      <c r="AB95" s="53"/>
      <c r="AC95" s="53"/>
      <c r="AD95" s="54"/>
      <c r="AE95" s="113"/>
    </row>
    <row r="96" spans="4:54" ht="15" hidden="1">
      <c r="H96" s="126"/>
      <c r="I96" s="55"/>
      <c r="J96" s="40"/>
      <c r="K96" s="59"/>
      <c r="L96" s="55"/>
      <c r="M96" s="42"/>
      <c r="N96" s="42"/>
      <c r="O96" s="64">
        <v>42</v>
      </c>
      <c r="P96" s="322" t="str">
        <f>IF(OR(O94="",O98="")=TRUE,"Disputa 13º/14º Jogador2",IF(O94&gt;O98,I94,I98))</f>
        <v>Disputa 13º/14º Jogador2</v>
      </c>
      <c r="Q96" s="317"/>
      <c r="R96" s="317"/>
      <c r="S96" s="318"/>
      <c r="T96" s="69"/>
      <c r="U96" s="69"/>
      <c r="V96" s="69"/>
      <c r="W96" s="45" t="str">
        <f>IF(COUNT(T96:V96)&lt;1,"",IF(SUM(IF(T88&lt;T96,1,0),IF(U88&lt;U96,1,0),IF(V88&lt;V96,1,0))&gt;2,"??",SUM(IF(T88&lt;T96,1,0),IF(U88&lt;U96,1,0),IF(V88&lt;V96,1,0))))</f>
        <v/>
      </c>
      <c r="X96" s="48"/>
      <c r="Y96" s="53"/>
      <c r="Z96" s="53"/>
      <c r="AA96" s="53"/>
      <c r="AB96" s="53"/>
      <c r="AC96" s="53"/>
      <c r="AD96" s="54"/>
      <c r="AE96" s="113"/>
    </row>
    <row r="97" spans="8:94" ht="15" hidden="1" customHeight="1">
      <c r="H97" s="126"/>
      <c r="I97" s="55"/>
      <c r="J97" s="40"/>
      <c r="K97" s="59"/>
      <c r="L97" s="55"/>
      <c r="M97" s="42"/>
      <c r="N97" s="42"/>
      <c r="O97" s="42"/>
      <c r="P97" s="36"/>
      <c r="Q97" s="40"/>
      <c r="R97" s="55"/>
      <c r="S97" s="46"/>
      <c r="T97" s="55"/>
      <c r="U97" s="55"/>
      <c r="V97" s="60"/>
      <c r="W97" s="53"/>
      <c r="X97" s="48"/>
      <c r="Y97" s="53"/>
      <c r="Z97" s="53"/>
      <c r="AA97" s="53"/>
      <c r="AB97" s="53"/>
      <c r="AC97" s="53"/>
      <c r="AD97" s="54"/>
      <c r="AE97" s="113"/>
    </row>
    <row r="98" spans="8:94" ht="15" hidden="1">
      <c r="H98" s="126"/>
      <c r="I98" s="317" t="str">
        <f>IF(Y15="","4º  do Grupo D",Y15)</f>
        <v>4º  do Grupo D</v>
      </c>
      <c r="J98" s="317"/>
      <c r="K98" s="318"/>
      <c r="L98" s="69"/>
      <c r="M98" s="69"/>
      <c r="N98" s="70"/>
      <c r="O98" s="35" t="str">
        <f>IF(COUNT(L98:N98)&lt;1,"",IF(SUM(IF(L94&lt;L98,1,0),IF(M94&lt;M98,1,0),IF(N94&lt;N98,1,0))&gt;2,"??",SUM(IF(L94&lt;L98,1,0),IF(M94&lt;M98,1,0),IF(N94&lt;N98,1,0))))</f>
        <v/>
      </c>
      <c r="P98" s="36"/>
      <c r="Q98" s="40"/>
      <c r="R98" s="55"/>
      <c r="S98" s="55"/>
      <c r="T98" s="55"/>
      <c r="U98" s="55"/>
      <c r="V98" s="55"/>
      <c r="W98" s="54"/>
      <c r="X98" s="68"/>
      <c r="Y98" s="54"/>
      <c r="Z98" s="54"/>
      <c r="AA98" s="54"/>
      <c r="AB98" s="54"/>
      <c r="AC98" s="54"/>
      <c r="AD98" s="54"/>
      <c r="AE98" s="113"/>
    </row>
    <row r="99" spans="8:94" hidden="1">
      <c r="H99" s="128"/>
      <c r="I99" s="168"/>
      <c r="J99" s="169"/>
      <c r="K99" s="168"/>
      <c r="L99" s="170"/>
      <c r="M99" s="168"/>
      <c r="N99" s="168"/>
      <c r="O99" s="168"/>
      <c r="P99" s="168"/>
      <c r="Q99" s="169"/>
      <c r="R99" s="168"/>
      <c r="S99" s="168"/>
      <c r="T99" s="168"/>
      <c r="U99" s="168"/>
      <c r="V99" s="168"/>
      <c r="W99" s="122"/>
      <c r="X99" s="123"/>
      <c r="Y99" s="122"/>
      <c r="Z99" s="122"/>
      <c r="AA99" s="122"/>
      <c r="AB99" s="122"/>
      <c r="AC99" s="122"/>
      <c r="AD99" s="122"/>
      <c r="AE99" s="124"/>
    </row>
    <row r="100" spans="8:94" ht="48.75" hidden="1" customHeight="1" thickBot="1"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3"/>
      <c r="BY100" s="323"/>
      <c r="BZ100" s="323"/>
      <c r="CA100" s="323"/>
      <c r="CB100" s="323"/>
      <c r="CC100" s="323"/>
      <c r="CD100" s="323"/>
      <c r="CE100" s="323"/>
      <c r="CF100" s="323"/>
      <c r="CG100" s="323"/>
      <c r="CH100" s="323"/>
    </row>
    <row r="101" spans="8:94" ht="64.5" hidden="1" customHeight="1" thickBot="1">
      <c r="BA101" s="87"/>
      <c r="BB101" s="315" t="str">
        <f>IF(BC102="","",CONCATENATE(VLOOKUP(BC102,$CJ$102:$CP$145,2,FALSE),"  -  ",VLOOKUP(BC102,$CJ$102:$CP$145,3,FALSE),,"  -  ",VLOOKUP(BC102,$CJ$102:$CP$145,4,FALSE),"  -  ",VLOOKUP(BC102,$CJ$102:$CP$145,5,FALSE)))</f>
        <v>Iniciados  -  Pares  -  Masculinos  -  Grupo A</v>
      </c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76"/>
      <c r="CJ101" s="132" t="s">
        <v>27</v>
      </c>
      <c r="CK101" s="132" t="s">
        <v>28</v>
      </c>
      <c r="CL101" s="132" t="s">
        <v>30</v>
      </c>
      <c r="CM101" s="132" t="s">
        <v>29</v>
      </c>
      <c r="CN101" s="132" t="s">
        <v>43</v>
      </c>
      <c r="CO101" s="132" t="s">
        <v>33</v>
      </c>
      <c r="CP101" s="132" t="s">
        <v>34</v>
      </c>
    </row>
    <row r="102" spans="8:94" ht="30" hidden="1" customHeight="1">
      <c r="BA102" s="88"/>
      <c r="BB102" s="89" t="s">
        <v>26</v>
      </c>
      <c r="BC102" s="137">
        <f>IF($AG$27="","",$AG$27)</f>
        <v>1</v>
      </c>
      <c r="BD102" s="84"/>
      <c r="BE102" s="84"/>
      <c r="BF102" s="84"/>
      <c r="BG102" s="84"/>
      <c r="BH102" s="84"/>
      <c r="BI102" s="84"/>
      <c r="BJ102" s="251" t="s">
        <v>65</v>
      </c>
      <c r="BK102" s="84"/>
      <c r="BL102" s="84"/>
      <c r="BM102" s="252"/>
      <c r="BN102" s="253"/>
      <c r="BO102" s="90"/>
      <c r="BP102" s="90"/>
      <c r="BQ102" s="90"/>
      <c r="BR102" s="91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92"/>
      <c r="CJ102" s="133">
        <f>$C$16</f>
        <v>1</v>
      </c>
      <c r="CK102" s="134" t="str">
        <f t="shared" ref="CK102:CK145" si="9">$H$2</f>
        <v>Iniciados</v>
      </c>
      <c r="CL102" s="134" t="str">
        <f t="shared" ref="CL102:CL145" si="10">$H$3</f>
        <v>Pares</v>
      </c>
      <c r="CM102" s="134" t="str">
        <f t="shared" ref="CM102:CM145" si="11">$Q$3</f>
        <v>Masculinos</v>
      </c>
      <c r="CN102" s="134" t="str">
        <f>$C$5</f>
        <v>Grupo A</v>
      </c>
      <c r="CO102" s="134" t="str">
        <f>$D$16</f>
        <v>A Carvalho/A Lisboa (Lisboa)</v>
      </c>
      <c r="CP102" s="134" t="str">
        <f>$D$17</f>
        <v/>
      </c>
    </row>
    <row r="103" spans="8:94" ht="7.5" hidden="1" customHeight="1">
      <c r="BA103" s="88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92"/>
      <c r="CJ103" s="135">
        <f>$C$18</f>
        <v>2</v>
      </c>
      <c r="CK103" s="135" t="str">
        <f t="shared" si="9"/>
        <v>Iniciados</v>
      </c>
      <c r="CL103" s="135" t="str">
        <f t="shared" si="10"/>
        <v>Pares</v>
      </c>
      <c r="CM103" s="135" t="str">
        <f t="shared" si="11"/>
        <v>Masculinos</v>
      </c>
      <c r="CN103" s="135" t="str">
        <f>$C$5</f>
        <v>Grupo A</v>
      </c>
      <c r="CO103" s="135" t="str">
        <f>$D$18</f>
        <v>G Almeida/H Aston (Norte)</v>
      </c>
      <c r="CP103" s="135" t="str">
        <f>$D$19</f>
        <v/>
      </c>
    </row>
    <row r="104" spans="8:94" ht="17.25" hidden="1" customHeight="1" thickBot="1">
      <c r="BA104" s="88"/>
      <c r="BB104" s="316" t="s">
        <v>35</v>
      </c>
      <c r="BC104" s="316"/>
      <c r="BD104" s="93" t="s">
        <v>21</v>
      </c>
      <c r="BE104" s="93"/>
      <c r="BF104" s="93"/>
      <c r="BG104" s="93" t="s">
        <v>22</v>
      </c>
      <c r="BH104" s="93"/>
      <c r="BI104" s="93"/>
      <c r="BJ104" s="93" t="s">
        <v>23</v>
      </c>
      <c r="BK104" s="93"/>
      <c r="BL104" s="93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92"/>
      <c r="CJ104" s="135">
        <f>$J$16</f>
        <v>3</v>
      </c>
      <c r="CK104" s="135" t="str">
        <f t="shared" si="9"/>
        <v>Iniciados</v>
      </c>
      <c r="CL104" s="135" t="str">
        <f t="shared" si="10"/>
        <v>Pares</v>
      </c>
      <c r="CM104" s="135" t="str">
        <f t="shared" si="11"/>
        <v>Masculinos</v>
      </c>
      <c r="CN104" s="135" t="str">
        <f>$J$5</f>
        <v>Grupo B</v>
      </c>
      <c r="CO104" s="135" t="str">
        <f>$K$16</f>
        <v>D Mackaaij/J Arez (Algarve)</v>
      </c>
      <c r="CP104" s="135" t="str">
        <f>$K$17</f>
        <v/>
      </c>
    </row>
    <row r="105" spans="8:94" ht="19.5" hidden="1" customHeight="1">
      <c r="BA105" s="88"/>
      <c r="BB105" s="302" t="str">
        <f>IF(BC102="","",VLOOKUP(BC102,$CJ$102:$CP$145,6,FALSE))</f>
        <v>A Carvalho/A Lisboa (Lisboa)</v>
      </c>
      <c r="BC105" s="303"/>
      <c r="BD105" s="302"/>
      <c r="BE105" s="306"/>
      <c r="BF105" s="303"/>
      <c r="BG105" s="302"/>
      <c r="BH105" s="306"/>
      <c r="BI105" s="303"/>
      <c r="BJ105" s="302"/>
      <c r="BK105" s="306"/>
      <c r="BL105" s="303"/>
      <c r="BM105" s="72"/>
      <c r="BN105" s="72"/>
      <c r="BO105" s="308"/>
      <c r="BP105" s="308"/>
      <c r="BQ105" s="308"/>
      <c r="BR105" s="94"/>
      <c r="BS105" s="95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92"/>
      <c r="CJ105" s="135">
        <f>$J$18</f>
        <v>4</v>
      </c>
      <c r="CK105" s="135" t="str">
        <f t="shared" si="9"/>
        <v>Iniciados</v>
      </c>
      <c r="CL105" s="135" t="str">
        <f t="shared" si="10"/>
        <v>Pares</v>
      </c>
      <c r="CM105" s="135" t="str">
        <f t="shared" si="11"/>
        <v>Masculinos</v>
      </c>
      <c r="CN105" s="135" t="str">
        <f>$J$5</f>
        <v>Grupo B</v>
      </c>
      <c r="CO105" s="135" t="str">
        <f>$K$18</f>
        <v>A Grilo/D Monteiro (Lisboa)</v>
      </c>
      <c r="CP105" s="135" t="str">
        <f>$K$19</f>
        <v>J Boaventura/P Gonçalves (Norte)</v>
      </c>
    </row>
    <row r="106" spans="8:94" ht="19.5" hidden="1" customHeight="1" thickBot="1">
      <c r="BA106" s="88"/>
      <c r="BB106" s="304"/>
      <c r="BC106" s="305"/>
      <c r="BD106" s="304"/>
      <c r="BE106" s="307"/>
      <c r="BF106" s="305"/>
      <c r="BG106" s="304"/>
      <c r="BH106" s="307"/>
      <c r="BI106" s="305"/>
      <c r="BJ106" s="304"/>
      <c r="BK106" s="307"/>
      <c r="BL106" s="305"/>
      <c r="BM106" s="72"/>
      <c r="BN106" s="72"/>
      <c r="BO106" s="308"/>
      <c r="BP106" s="308"/>
      <c r="BQ106" s="308"/>
      <c r="BR106" s="94"/>
      <c r="BS106" s="95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92"/>
      <c r="CJ106" s="135">
        <f>$Q$16</f>
        <v>5</v>
      </c>
      <c r="CK106" s="135" t="str">
        <f t="shared" si="9"/>
        <v>Iniciados</v>
      </c>
      <c r="CL106" s="135" t="str">
        <f t="shared" si="10"/>
        <v>Pares</v>
      </c>
      <c r="CM106" s="135" t="str">
        <f t="shared" si="11"/>
        <v>Masculinos</v>
      </c>
      <c r="CN106" s="135" t="str">
        <f>$Q$5</f>
        <v>Grupo C</v>
      </c>
      <c r="CO106" s="135" t="str">
        <f>$R$16</f>
        <v>A Ferreira/P Nunes (Centro)</v>
      </c>
      <c r="CP106" s="135" t="str">
        <f>$R$17</f>
        <v/>
      </c>
    </row>
    <row r="107" spans="8:94" ht="19.5" hidden="1" customHeight="1">
      <c r="BA107" s="88"/>
      <c r="BB107" s="302" t="str">
        <f>IF(BC102="","",VLOOKUP(BC102,$CJ$102:$CP$145,7,FALSE))</f>
        <v/>
      </c>
      <c r="BC107" s="303"/>
      <c r="BD107" s="302"/>
      <c r="BE107" s="306"/>
      <c r="BF107" s="303"/>
      <c r="BG107" s="302"/>
      <c r="BH107" s="306"/>
      <c r="BI107" s="303"/>
      <c r="BJ107" s="302"/>
      <c r="BK107" s="306"/>
      <c r="BL107" s="303"/>
      <c r="BM107" s="72"/>
      <c r="BN107" s="72"/>
      <c r="BO107" s="308"/>
      <c r="BP107" s="308"/>
      <c r="BQ107" s="308"/>
      <c r="BR107" s="94"/>
      <c r="BS107" s="95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92"/>
      <c r="CJ107" s="135">
        <f>$Q$18</f>
        <v>6</v>
      </c>
      <c r="CK107" s="135" t="str">
        <f t="shared" si="9"/>
        <v>Iniciados</v>
      </c>
      <c r="CL107" s="135" t="str">
        <f t="shared" si="10"/>
        <v>Pares</v>
      </c>
      <c r="CM107" s="135" t="str">
        <f t="shared" si="11"/>
        <v>Masculinos</v>
      </c>
      <c r="CN107" s="135" t="str">
        <f>$Q$5</f>
        <v>Grupo C</v>
      </c>
      <c r="CO107" s="135" t="str">
        <f>$R$18</f>
        <v>V Murteira/V Vicente (Lisboa)</v>
      </c>
      <c r="CP107" s="135" t="str">
        <f>$R$19</f>
        <v/>
      </c>
    </row>
    <row r="108" spans="8:94" ht="19.5" hidden="1" customHeight="1" thickBot="1">
      <c r="BA108" s="88"/>
      <c r="BB108" s="304"/>
      <c r="BC108" s="305"/>
      <c r="BD108" s="304"/>
      <c r="BE108" s="307"/>
      <c r="BF108" s="305"/>
      <c r="BG108" s="304"/>
      <c r="BH108" s="307"/>
      <c r="BI108" s="305"/>
      <c r="BJ108" s="304"/>
      <c r="BK108" s="307"/>
      <c r="BL108" s="305"/>
      <c r="BM108" s="72"/>
      <c r="BN108" s="72"/>
      <c r="BO108" s="308"/>
      <c r="BP108" s="308"/>
      <c r="BQ108" s="308"/>
      <c r="BR108" s="96"/>
      <c r="BS108" s="95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92"/>
      <c r="CJ108" s="135">
        <f>$X$16</f>
        <v>7</v>
      </c>
      <c r="CK108" s="135" t="str">
        <f t="shared" si="9"/>
        <v>Iniciados</v>
      </c>
      <c r="CL108" s="135" t="str">
        <f t="shared" si="10"/>
        <v>Pares</v>
      </c>
      <c r="CM108" s="135" t="str">
        <f t="shared" si="11"/>
        <v>Masculinos</v>
      </c>
      <c r="CN108" s="135" t="str">
        <f>$X$5</f>
        <v>Grupo D</v>
      </c>
      <c r="CO108" s="135" t="str">
        <f>$Y$16</f>
        <v>F Moreira/H Ribeiro (Norte)</v>
      </c>
      <c r="CP108" s="135" t="str">
        <f>$Y$17</f>
        <v/>
      </c>
    </row>
    <row r="109" spans="8:94" ht="22.5" hidden="1" customHeight="1" thickBot="1">
      <c r="BA109" s="88"/>
      <c r="BB109" s="97" t="s">
        <v>24</v>
      </c>
      <c r="BC109" s="309"/>
      <c r="BD109" s="310"/>
      <c r="BE109" s="310"/>
      <c r="BF109" s="310"/>
      <c r="BG109" s="311"/>
      <c r="BH109" s="311"/>
      <c r="BI109" s="311"/>
      <c r="BJ109" s="311"/>
      <c r="BK109" s="311"/>
      <c r="BL109" s="311"/>
      <c r="BM109" s="312"/>
      <c r="BN109" s="313"/>
      <c r="BO109" s="313"/>
      <c r="BP109" s="313"/>
      <c r="BQ109" s="313"/>
      <c r="BR109" s="95"/>
      <c r="BS109" s="95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92"/>
      <c r="CJ109" s="135">
        <f>$X$18</f>
        <v>8</v>
      </c>
      <c r="CK109" s="135" t="str">
        <f t="shared" si="9"/>
        <v>Iniciados</v>
      </c>
      <c r="CL109" s="135" t="str">
        <f t="shared" si="10"/>
        <v>Pares</v>
      </c>
      <c r="CM109" s="135" t="str">
        <f t="shared" si="11"/>
        <v>Masculinos</v>
      </c>
      <c r="CN109" s="135" t="str">
        <f>$X$5</f>
        <v>Grupo D</v>
      </c>
      <c r="CO109" s="135" t="str">
        <f>$Y$18</f>
        <v>L Macrino/G Moita (Lisboa)</v>
      </c>
      <c r="CP109" s="135" t="str">
        <f>$Y$19</f>
        <v>M Pinela/S Boavista (Alentejo)</v>
      </c>
    </row>
    <row r="110" spans="8:94" ht="18.75" hidden="1" customHeight="1">
      <c r="BA110" s="88"/>
      <c r="BB110" s="73" t="s">
        <v>35</v>
      </c>
      <c r="BC110" s="73"/>
      <c r="BD110" s="73"/>
      <c r="BE110" s="73"/>
      <c r="BF110" s="73"/>
      <c r="BG110" s="73"/>
      <c r="BH110" s="7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92"/>
      <c r="CJ110" s="135">
        <f>$C$20</f>
        <v>9</v>
      </c>
      <c r="CK110" s="135" t="str">
        <f t="shared" si="9"/>
        <v>Iniciados</v>
      </c>
      <c r="CL110" s="135" t="str">
        <f t="shared" si="10"/>
        <v>Pares</v>
      </c>
      <c r="CM110" s="135" t="str">
        <f t="shared" si="11"/>
        <v>Masculinos</v>
      </c>
      <c r="CN110" s="135" t="str">
        <f>$C$5</f>
        <v>Grupo A</v>
      </c>
      <c r="CO110" s="135" t="str">
        <f>$D$20</f>
        <v/>
      </c>
      <c r="CP110" s="135" t="str">
        <f>$D$21</f>
        <v/>
      </c>
    </row>
    <row r="111" spans="8:94" ht="15" hidden="1" customHeight="1">
      <c r="BA111" s="88"/>
      <c r="BB111" s="298" t="str">
        <f>IF($BB$105="","",$BB$105)</f>
        <v>A Carvalho/A Lisboa (Lisboa)</v>
      </c>
      <c r="BC111" s="299"/>
      <c r="BD111" s="74"/>
      <c r="BE111" s="75"/>
      <c r="BF111" s="75"/>
      <c r="BG111" s="75"/>
      <c r="BH111" s="75"/>
      <c r="BI111" s="75"/>
      <c r="BJ111" s="75"/>
      <c r="BK111" s="75"/>
      <c r="BL111" s="75"/>
      <c r="BM111" s="76"/>
      <c r="BN111" s="254"/>
      <c r="BO111" s="256"/>
      <c r="BP111" s="77"/>
      <c r="BQ111" s="77"/>
      <c r="BR111" s="77"/>
      <c r="BS111" s="78"/>
      <c r="BT111" s="75"/>
      <c r="BU111" s="75"/>
      <c r="BV111" s="75"/>
      <c r="BW111" s="75"/>
      <c r="BX111" s="254"/>
      <c r="BY111" s="76"/>
      <c r="BZ111" s="75"/>
      <c r="CA111" s="75"/>
      <c r="CB111" s="75"/>
      <c r="CC111" s="75"/>
      <c r="CD111" s="75"/>
      <c r="CE111" s="75"/>
      <c r="CF111" s="75"/>
      <c r="CG111" s="75"/>
      <c r="CH111" s="92"/>
      <c r="CJ111" s="135">
        <f>$C$22</f>
        <v>10</v>
      </c>
      <c r="CK111" s="135" t="str">
        <f t="shared" si="9"/>
        <v>Iniciados</v>
      </c>
      <c r="CL111" s="135" t="str">
        <f t="shared" si="10"/>
        <v>Pares</v>
      </c>
      <c r="CM111" s="135" t="str">
        <f t="shared" si="11"/>
        <v>Masculinos</v>
      </c>
      <c r="CN111" s="135" t="str">
        <f>$C$5</f>
        <v>Grupo A</v>
      </c>
      <c r="CO111" s="135" t="str">
        <f>$D$22</f>
        <v>A Carvalho/A Lisboa (Lisboa)</v>
      </c>
      <c r="CP111" s="135" t="str">
        <f>$D$23</f>
        <v>G Almeida/H Aston (Norte)</v>
      </c>
    </row>
    <row r="112" spans="8:94" ht="15" hidden="1" customHeight="1">
      <c r="BA112" s="88"/>
      <c r="BB112" s="300"/>
      <c r="BC112" s="301"/>
      <c r="BD112" s="79"/>
      <c r="BE112" s="80"/>
      <c r="BF112" s="80"/>
      <c r="BG112" s="80"/>
      <c r="BH112" s="80"/>
      <c r="BI112" s="80"/>
      <c r="BJ112" s="80"/>
      <c r="BK112" s="80"/>
      <c r="BL112" s="80"/>
      <c r="BM112" s="81"/>
      <c r="BN112" s="255"/>
      <c r="BO112" s="257"/>
      <c r="BP112" s="82"/>
      <c r="BQ112" s="82"/>
      <c r="BR112" s="82"/>
      <c r="BS112" s="83"/>
      <c r="BT112" s="80"/>
      <c r="BU112" s="80"/>
      <c r="BV112" s="80"/>
      <c r="BW112" s="80"/>
      <c r="BX112" s="255"/>
      <c r="BY112" s="81"/>
      <c r="BZ112" s="80"/>
      <c r="CA112" s="80"/>
      <c r="CB112" s="80"/>
      <c r="CC112" s="80"/>
      <c r="CD112" s="80"/>
      <c r="CE112" s="80"/>
      <c r="CF112" s="80"/>
      <c r="CG112" s="80"/>
      <c r="CH112" s="98" t="s">
        <v>1</v>
      </c>
      <c r="CJ112" s="135">
        <f>$J$20</f>
        <v>11</v>
      </c>
      <c r="CK112" s="135" t="str">
        <f t="shared" si="9"/>
        <v>Iniciados</v>
      </c>
      <c r="CL112" s="135" t="str">
        <f t="shared" si="10"/>
        <v>Pares</v>
      </c>
      <c r="CM112" s="135" t="str">
        <f t="shared" si="11"/>
        <v>Masculinos</v>
      </c>
      <c r="CN112" s="135" t="str">
        <f>$J$5</f>
        <v>Grupo B</v>
      </c>
      <c r="CO112" s="135" t="str">
        <f>$K$20</f>
        <v/>
      </c>
      <c r="CP112" s="135" t="str">
        <f>$K$21</f>
        <v>J Boaventura/P Gonçalves (Norte)</v>
      </c>
    </row>
    <row r="113" spans="53:94" ht="15" hidden="1" customHeight="1">
      <c r="BA113" s="88"/>
      <c r="BB113" s="298" t="str">
        <f>IF($BB$107="","",$BB$107)</f>
        <v/>
      </c>
      <c r="BC113" s="299"/>
      <c r="BD113" s="74"/>
      <c r="BE113" s="75"/>
      <c r="BF113" s="75"/>
      <c r="BG113" s="75"/>
      <c r="BH113" s="75"/>
      <c r="BI113" s="75"/>
      <c r="BJ113" s="75"/>
      <c r="BK113" s="75"/>
      <c r="BL113" s="75"/>
      <c r="BM113" s="76"/>
      <c r="BN113" s="254"/>
      <c r="BO113" s="256"/>
      <c r="BP113" s="77"/>
      <c r="BQ113" s="77"/>
      <c r="BR113" s="77"/>
      <c r="BS113" s="78"/>
      <c r="BT113" s="75"/>
      <c r="BU113" s="75"/>
      <c r="BV113" s="75"/>
      <c r="BW113" s="75"/>
      <c r="BX113" s="254"/>
      <c r="BY113" s="76"/>
      <c r="BZ113" s="75"/>
      <c r="CA113" s="75"/>
      <c r="CB113" s="75"/>
      <c r="CC113" s="75"/>
      <c r="CD113" s="75"/>
      <c r="CE113" s="75"/>
      <c r="CF113" s="75"/>
      <c r="CG113" s="75"/>
      <c r="CH113" s="99"/>
      <c r="CJ113" s="135">
        <f>$J$22</f>
        <v>12</v>
      </c>
      <c r="CK113" s="135" t="str">
        <f t="shared" si="9"/>
        <v>Iniciados</v>
      </c>
      <c r="CL113" s="135" t="str">
        <f t="shared" si="10"/>
        <v>Pares</v>
      </c>
      <c r="CM113" s="135" t="str">
        <f t="shared" si="11"/>
        <v>Masculinos</v>
      </c>
      <c r="CN113" s="135" t="str">
        <f>$J$5</f>
        <v>Grupo B</v>
      </c>
      <c r="CO113" s="135" t="str">
        <f>$K$22</f>
        <v>D Mackaaij/J Arez (Algarve)</v>
      </c>
      <c r="CP113" s="135" t="str">
        <f>$K$23</f>
        <v>A Grilo/D Monteiro (Lisboa)</v>
      </c>
    </row>
    <row r="114" spans="53:94" ht="15" hidden="1" customHeight="1">
      <c r="BA114" s="88"/>
      <c r="BB114" s="300"/>
      <c r="BC114" s="301"/>
      <c r="BD114" s="79"/>
      <c r="BE114" s="80"/>
      <c r="BF114" s="80"/>
      <c r="BG114" s="80"/>
      <c r="BH114" s="80"/>
      <c r="BI114" s="80"/>
      <c r="BJ114" s="80"/>
      <c r="BK114" s="80"/>
      <c r="BL114" s="80"/>
      <c r="BM114" s="81"/>
      <c r="BN114" s="255"/>
      <c r="BO114" s="257"/>
      <c r="BP114" s="82"/>
      <c r="BQ114" s="82"/>
      <c r="BR114" s="82"/>
      <c r="BS114" s="83"/>
      <c r="BT114" s="80"/>
      <c r="BU114" s="80"/>
      <c r="BV114" s="80"/>
      <c r="BW114" s="80"/>
      <c r="BX114" s="255"/>
      <c r="BY114" s="81"/>
      <c r="BZ114" s="80"/>
      <c r="CA114" s="80"/>
      <c r="CB114" s="80"/>
      <c r="CC114" s="80"/>
      <c r="CD114" s="80"/>
      <c r="CE114" s="80"/>
      <c r="CF114" s="80"/>
      <c r="CG114" s="80"/>
      <c r="CH114" s="92"/>
      <c r="CJ114" s="135">
        <f>$Q$20</f>
        <v>13</v>
      </c>
      <c r="CK114" s="135" t="str">
        <f t="shared" si="9"/>
        <v>Iniciados</v>
      </c>
      <c r="CL114" s="135" t="str">
        <f t="shared" si="10"/>
        <v>Pares</v>
      </c>
      <c r="CM114" s="135" t="str">
        <f t="shared" si="11"/>
        <v>Masculinos</v>
      </c>
      <c r="CN114" s="135" t="str">
        <f>$Q$5</f>
        <v>Grupo C</v>
      </c>
      <c r="CO114" s="135" t="str">
        <f>$R$20</f>
        <v/>
      </c>
      <c r="CP114" s="135" t="str">
        <f>$R$21</f>
        <v/>
      </c>
    </row>
    <row r="115" spans="53:94" ht="12.75" hidden="1" customHeight="1">
      <c r="BA115" s="88"/>
      <c r="BB115" s="84"/>
      <c r="BC115" s="84"/>
      <c r="BD115" s="100">
        <v>1</v>
      </c>
      <c r="BE115" s="100">
        <v>2</v>
      </c>
      <c r="BF115" s="100">
        <v>3</v>
      </c>
      <c r="BG115" s="100">
        <v>4</v>
      </c>
      <c r="BH115" s="100">
        <v>5</v>
      </c>
      <c r="BI115" s="100">
        <v>6</v>
      </c>
      <c r="BJ115" s="100">
        <v>7</v>
      </c>
      <c r="BK115" s="100">
        <v>8</v>
      </c>
      <c r="BL115" s="100">
        <v>9</v>
      </c>
      <c r="BM115" s="100">
        <v>10</v>
      </c>
      <c r="BN115" s="100">
        <v>11</v>
      </c>
      <c r="BO115" s="100">
        <v>12</v>
      </c>
      <c r="BP115" s="100">
        <v>13</v>
      </c>
      <c r="BQ115" s="100">
        <v>14</v>
      </c>
      <c r="BR115" s="100">
        <v>15</v>
      </c>
      <c r="BS115" s="100">
        <v>16</v>
      </c>
      <c r="BT115" s="100">
        <v>17</v>
      </c>
      <c r="BU115" s="100">
        <v>18</v>
      </c>
      <c r="BV115" s="100">
        <v>19</v>
      </c>
      <c r="BW115" s="100">
        <v>20</v>
      </c>
      <c r="BX115" s="100">
        <v>21</v>
      </c>
      <c r="BY115" s="100">
        <v>22</v>
      </c>
      <c r="BZ115" s="100">
        <v>23</v>
      </c>
      <c r="CA115" s="100">
        <v>24</v>
      </c>
      <c r="CB115" s="100">
        <v>25</v>
      </c>
      <c r="CC115" s="100">
        <v>26</v>
      </c>
      <c r="CD115" s="100">
        <v>27</v>
      </c>
      <c r="CE115" s="100">
        <v>28</v>
      </c>
      <c r="CF115" s="100">
        <v>29</v>
      </c>
      <c r="CG115" s="100">
        <v>30</v>
      </c>
      <c r="CH115" s="101"/>
      <c r="CJ115" s="135">
        <f>$Q$22</f>
        <v>14</v>
      </c>
      <c r="CK115" s="135" t="str">
        <f t="shared" si="9"/>
        <v>Iniciados</v>
      </c>
      <c r="CL115" s="135" t="str">
        <f t="shared" si="10"/>
        <v>Pares</v>
      </c>
      <c r="CM115" s="135" t="str">
        <f t="shared" si="11"/>
        <v>Masculinos</v>
      </c>
      <c r="CN115" s="135" t="str">
        <f>$Q$5</f>
        <v>Grupo C</v>
      </c>
      <c r="CO115" s="135" t="str">
        <f>$R$22</f>
        <v>A Ferreira/P Nunes (Centro)</v>
      </c>
      <c r="CP115" s="135" t="str">
        <f>$R$23</f>
        <v>V Murteira/V Vicente (Lisboa)</v>
      </c>
    </row>
    <row r="116" spans="53:94" ht="15" hidden="1" customHeight="1">
      <c r="BA116" s="88"/>
      <c r="BB116" s="298" t="str">
        <f>IF($BB$105="","",$BB$105)</f>
        <v>A Carvalho/A Lisboa (Lisboa)</v>
      </c>
      <c r="BC116" s="299"/>
      <c r="BD116" s="74"/>
      <c r="BE116" s="75"/>
      <c r="BF116" s="75"/>
      <c r="BG116" s="75"/>
      <c r="BH116" s="75"/>
      <c r="BI116" s="75"/>
      <c r="BJ116" s="75"/>
      <c r="BK116" s="75"/>
      <c r="BL116" s="75"/>
      <c r="BM116" s="76"/>
      <c r="BN116" s="254"/>
      <c r="BO116" s="256"/>
      <c r="BP116" s="77"/>
      <c r="BQ116" s="77"/>
      <c r="BR116" s="77"/>
      <c r="BS116" s="78"/>
      <c r="BT116" s="75"/>
      <c r="BU116" s="75"/>
      <c r="BV116" s="75"/>
      <c r="BW116" s="75"/>
      <c r="BX116" s="254"/>
      <c r="BY116" s="76"/>
      <c r="BZ116" s="75"/>
      <c r="CA116" s="75"/>
      <c r="CB116" s="75"/>
      <c r="CC116" s="75"/>
      <c r="CD116" s="75"/>
      <c r="CE116" s="75"/>
      <c r="CF116" s="75"/>
      <c r="CG116" s="75"/>
      <c r="CH116" s="92"/>
      <c r="CJ116" s="135">
        <f>$X$20</f>
        <v>15</v>
      </c>
      <c r="CK116" s="135" t="str">
        <f t="shared" si="9"/>
        <v>Iniciados</v>
      </c>
      <c r="CL116" s="135" t="str">
        <f t="shared" si="10"/>
        <v>Pares</v>
      </c>
      <c r="CM116" s="135" t="str">
        <f t="shared" si="11"/>
        <v>Masculinos</v>
      </c>
      <c r="CN116" s="135" t="str">
        <f>$X$5</f>
        <v>Grupo D</v>
      </c>
      <c r="CO116" s="135" t="str">
        <f>$Y$20</f>
        <v/>
      </c>
      <c r="CP116" s="135" t="str">
        <f>$Y$21</f>
        <v>M Pinela/S Boavista (Alentejo)</v>
      </c>
    </row>
    <row r="117" spans="53:94" ht="15" hidden="1" customHeight="1">
      <c r="BA117" s="88"/>
      <c r="BB117" s="300"/>
      <c r="BC117" s="301"/>
      <c r="BD117" s="79"/>
      <c r="BE117" s="80"/>
      <c r="BF117" s="80"/>
      <c r="BG117" s="80"/>
      <c r="BH117" s="80"/>
      <c r="BI117" s="80"/>
      <c r="BJ117" s="80"/>
      <c r="BK117" s="80"/>
      <c r="BL117" s="80"/>
      <c r="BM117" s="81"/>
      <c r="BN117" s="255"/>
      <c r="BO117" s="257"/>
      <c r="BP117" s="82"/>
      <c r="BQ117" s="82"/>
      <c r="BR117" s="82"/>
      <c r="BS117" s="83"/>
      <c r="BT117" s="80"/>
      <c r="BU117" s="80"/>
      <c r="BV117" s="80"/>
      <c r="BW117" s="80"/>
      <c r="BX117" s="255"/>
      <c r="BY117" s="81"/>
      <c r="BZ117" s="80"/>
      <c r="CA117" s="80"/>
      <c r="CB117" s="80"/>
      <c r="CC117" s="80"/>
      <c r="CD117" s="80"/>
      <c r="CE117" s="80"/>
      <c r="CF117" s="80"/>
      <c r="CG117" s="80"/>
      <c r="CH117" s="92"/>
      <c r="CJ117" s="135">
        <f>$X$22</f>
        <v>16</v>
      </c>
      <c r="CK117" s="135" t="str">
        <f t="shared" si="9"/>
        <v>Iniciados</v>
      </c>
      <c r="CL117" s="135" t="str">
        <f t="shared" si="10"/>
        <v>Pares</v>
      </c>
      <c r="CM117" s="135" t="str">
        <f t="shared" si="11"/>
        <v>Masculinos</v>
      </c>
      <c r="CN117" s="135" t="str">
        <f>$X$5</f>
        <v>Grupo D</v>
      </c>
      <c r="CO117" s="135" t="str">
        <f>$Y$22</f>
        <v>F Moreira/H Ribeiro (Norte)</v>
      </c>
      <c r="CP117" s="135" t="str">
        <f>$Y$23</f>
        <v>L Macrino/G Moita (Lisboa)</v>
      </c>
    </row>
    <row r="118" spans="53:94" ht="15" hidden="1" customHeight="1">
      <c r="BA118" s="88"/>
      <c r="BB118" s="298" t="str">
        <f>IF($BB$107="","",$BB$107)</f>
        <v/>
      </c>
      <c r="BC118" s="299"/>
      <c r="BD118" s="74"/>
      <c r="BE118" s="75"/>
      <c r="BF118" s="75"/>
      <c r="BG118" s="75"/>
      <c r="BH118" s="75"/>
      <c r="BI118" s="75"/>
      <c r="BJ118" s="75"/>
      <c r="BK118" s="75"/>
      <c r="BL118" s="75"/>
      <c r="BM118" s="76"/>
      <c r="BN118" s="254"/>
      <c r="BO118" s="256"/>
      <c r="BP118" s="77"/>
      <c r="BQ118" s="77"/>
      <c r="BR118" s="77"/>
      <c r="BS118" s="78"/>
      <c r="BT118" s="75"/>
      <c r="BU118" s="75"/>
      <c r="BV118" s="75"/>
      <c r="BW118" s="75"/>
      <c r="BX118" s="254"/>
      <c r="BY118" s="76"/>
      <c r="BZ118" s="75"/>
      <c r="CA118" s="75"/>
      <c r="CB118" s="75"/>
      <c r="CC118" s="75"/>
      <c r="CD118" s="75"/>
      <c r="CE118" s="75"/>
      <c r="CF118" s="75"/>
      <c r="CG118" s="75"/>
      <c r="CH118" s="98" t="s">
        <v>2</v>
      </c>
      <c r="CJ118" s="135">
        <f>$C$24</f>
        <v>17</v>
      </c>
      <c r="CK118" s="135" t="str">
        <f t="shared" si="9"/>
        <v>Iniciados</v>
      </c>
      <c r="CL118" s="135" t="str">
        <f t="shared" si="10"/>
        <v>Pares</v>
      </c>
      <c r="CM118" s="135" t="str">
        <f t="shared" si="11"/>
        <v>Masculinos</v>
      </c>
      <c r="CN118" s="135" t="str">
        <f>$C$5</f>
        <v>Grupo A</v>
      </c>
      <c r="CO118" s="135" t="str">
        <f>$D$24</f>
        <v>G Almeida/H Aston (Norte)</v>
      </c>
      <c r="CP118" s="135" t="str">
        <f>$D$25</f>
        <v/>
      </c>
    </row>
    <row r="119" spans="53:94" ht="15" hidden="1" customHeight="1">
      <c r="BA119" s="88"/>
      <c r="BB119" s="300"/>
      <c r="BC119" s="301"/>
      <c r="BD119" s="79"/>
      <c r="BE119" s="80"/>
      <c r="BF119" s="80"/>
      <c r="BG119" s="80"/>
      <c r="BH119" s="80"/>
      <c r="BI119" s="80"/>
      <c r="BJ119" s="80"/>
      <c r="BK119" s="80"/>
      <c r="BL119" s="80"/>
      <c r="BM119" s="81"/>
      <c r="BN119" s="255"/>
      <c r="BO119" s="257"/>
      <c r="BP119" s="82"/>
      <c r="BQ119" s="82"/>
      <c r="BR119" s="82"/>
      <c r="BS119" s="83"/>
      <c r="BT119" s="80"/>
      <c r="BU119" s="80"/>
      <c r="BV119" s="80"/>
      <c r="BW119" s="80"/>
      <c r="BX119" s="255"/>
      <c r="BY119" s="81"/>
      <c r="BZ119" s="80"/>
      <c r="CA119" s="80"/>
      <c r="CB119" s="80"/>
      <c r="CC119" s="80"/>
      <c r="CD119" s="80"/>
      <c r="CE119" s="80"/>
      <c r="CF119" s="80"/>
      <c r="CG119" s="80"/>
      <c r="CH119" s="92"/>
      <c r="CJ119" s="135">
        <f>$C$26</f>
        <v>18</v>
      </c>
      <c r="CK119" s="135" t="str">
        <f t="shared" si="9"/>
        <v>Iniciados</v>
      </c>
      <c r="CL119" s="135" t="str">
        <f t="shared" si="10"/>
        <v>Pares</v>
      </c>
      <c r="CM119" s="135" t="str">
        <f t="shared" si="11"/>
        <v>Masculinos</v>
      </c>
      <c r="CN119" s="135" t="str">
        <f>$C$5</f>
        <v>Grupo A</v>
      </c>
      <c r="CO119" s="135" t="str">
        <f>$D$26</f>
        <v/>
      </c>
      <c r="CP119" s="135" t="str">
        <f>$D$27</f>
        <v>A Carvalho/A Lisboa (Lisboa)</v>
      </c>
    </row>
    <row r="120" spans="53:94" ht="12.75" hidden="1" customHeight="1">
      <c r="BA120" s="88"/>
      <c r="BB120" s="84"/>
      <c r="BC120" s="84"/>
      <c r="BD120" s="100">
        <v>1</v>
      </c>
      <c r="BE120" s="100">
        <v>2</v>
      </c>
      <c r="BF120" s="100">
        <v>3</v>
      </c>
      <c r="BG120" s="100">
        <v>4</v>
      </c>
      <c r="BH120" s="100">
        <v>5</v>
      </c>
      <c r="BI120" s="100">
        <v>6</v>
      </c>
      <c r="BJ120" s="100">
        <v>7</v>
      </c>
      <c r="BK120" s="100">
        <v>8</v>
      </c>
      <c r="BL120" s="100">
        <v>9</v>
      </c>
      <c r="BM120" s="100">
        <v>10</v>
      </c>
      <c r="BN120" s="100">
        <v>11</v>
      </c>
      <c r="BO120" s="100">
        <v>12</v>
      </c>
      <c r="BP120" s="100">
        <v>13</v>
      </c>
      <c r="BQ120" s="100">
        <v>14</v>
      </c>
      <c r="BR120" s="100">
        <v>15</v>
      </c>
      <c r="BS120" s="100">
        <v>16</v>
      </c>
      <c r="BT120" s="100">
        <v>17</v>
      </c>
      <c r="BU120" s="100">
        <v>18</v>
      </c>
      <c r="BV120" s="100">
        <v>19</v>
      </c>
      <c r="BW120" s="100">
        <v>20</v>
      </c>
      <c r="BX120" s="100">
        <v>21</v>
      </c>
      <c r="BY120" s="100">
        <v>22</v>
      </c>
      <c r="BZ120" s="100">
        <v>23</v>
      </c>
      <c r="CA120" s="100">
        <v>24</v>
      </c>
      <c r="CB120" s="100">
        <v>25</v>
      </c>
      <c r="CC120" s="100">
        <v>26</v>
      </c>
      <c r="CD120" s="100">
        <v>27</v>
      </c>
      <c r="CE120" s="100">
        <v>28</v>
      </c>
      <c r="CF120" s="100">
        <v>29</v>
      </c>
      <c r="CG120" s="100">
        <v>30</v>
      </c>
      <c r="CH120" s="101"/>
      <c r="CJ120" s="135">
        <f>$J$24</f>
        <v>19</v>
      </c>
      <c r="CK120" s="135" t="str">
        <f t="shared" si="9"/>
        <v>Iniciados</v>
      </c>
      <c r="CL120" s="135" t="str">
        <f t="shared" si="10"/>
        <v>Pares</v>
      </c>
      <c r="CM120" s="135" t="str">
        <f t="shared" si="11"/>
        <v>Masculinos</v>
      </c>
      <c r="CN120" s="135" t="str">
        <f>$J$5</f>
        <v>Grupo B</v>
      </c>
      <c r="CO120" s="135" t="str">
        <f>$K$24</f>
        <v>A Grilo/D Monteiro (Lisboa)</v>
      </c>
      <c r="CP120" s="135" t="str">
        <f>$K$25</f>
        <v/>
      </c>
    </row>
    <row r="121" spans="53:94" ht="15" hidden="1" customHeight="1">
      <c r="BA121" s="88"/>
      <c r="BB121" s="298" t="str">
        <f>IF($BB$105="","",$BB$105)</f>
        <v>A Carvalho/A Lisboa (Lisboa)</v>
      </c>
      <c r="BC121" s="299"/>
      <c r="BD121" s="74"/>
      <c r="BE121" s="75"/>
      <c r="BF121" s="75"/>
      <c r="BG121" s="75"/>
      <c r="BH121" s="75"/>
      <c r="BI121" s="75"/>
      <c r="BJ121" s="75"/>
      <c r="BK121" s="75"/>
      <c r="BL121" s="75"/>
      <c r="BM121" s="76"/>
      <c r="BN121" s="254"/>
      <c r="BO121" s="256"/>
      <c r="BP121" s="77"/>
      <c r="BQ121" s="77"/>
      <c r="BR121" s="77"/>
      <c r="BS121" s="78"/>
      <c r="BT121" s="75"/>
      <c r="BU121" s="75"/>
      <c r="BV121" s="75"/>
      <c r="BW121" s="75"/>
      <c r="BX121" s="254"/>
      <c r="BY121" s="76"/>
      <c r="BZ121" s="75"/>
      <c r="CA121" s="75"/>
      <c r="CB121" s="75"/>
      <c r="CC121" s="75"/>
      <c r="CD121" s="75"/>
      <c r="CE121" s="75"/>
      <c r="CF121" s="75"/>
      <c r="CG121" s="75"/>
      <c r="CH121" s="92"/>
      <c r="CJ121" s="135">
        <f>$J$26</f>
        <v>20</v>
      </c>
      <c r="CK121" s="135" t="str">
        <f t="shared" si="9"/>
        <v>Iniciados</v>
      </c>
      <c r="CL121" s="135" t="str">
        <f t="shared" si="10"/>
        <v>Pares</v>
      </c>
      <c r="CM121" s="135" t="str">
        <f t="shared" si="11"/>
        <v>Masculinos</v>
      </c>
      <c r="CN121" s="135" t="str">
        <f>$J$5</f>
        <v>Grupo B</v>
      </c>
      <c r="CO121" s="135" t="str">
        <f>$K$26</f>
        <v>J Boaventura/P Gonçalves (Norte)</v>
      </c>
      <c r="CP121" s="135" t="str">
        <f>$K$27</f>
        <v>D Mackaaij/J Arez (Algarve)</v>
      </c>
    </row>
    <row r="122" spans="53:94" ht="15" hidden="1" customHeight="1">
      <c r="BA122" s="88"/>
      <c r="BB122" s="300"/>
      <c r="BC122" s="301"/>
      <c r="BD122" s="79"/>
      <c r="BE122" s="80"/>
      <c r="BF122" s="80"/>
      <c r="BG122" s="80"/>
      <c r="BH122" s="80"/>
      <c r="BI122" s="80"/>
      <c r="BJ122" s="80"/>
      <c r="BK122" s="80"/>
      <c r="BL122" s="80"/>
      <c r="BM122" s="81"/>
      <c r="BN122" s="255"/>
      <c r="BO122" s="257"/>
      <c r="BP122" s="82"/>
      <c r="BQ122" s="82"/>
      <c r="BR122" s="82"/>
      <c r="BS122" s="83"/>
      <c r="BT122" s="80"/>
      <c r="BU122" s="80"/>
      <c r="BV122" s="80"/>
      <c r="BW122" s="80"/>
      <c r="BX122" s="255"/>
      <c r="BY122" s="81"/>
      <c r="BZ122" s="80"/>
      <c r="CA122" s="80"/>
      <c r="CB122" s="80"/>
      <c r="CC122" s="80"/>
      <c r="CD122" s="80"/>
      <c r="CE122" s="80"/>
      <c r="CF122" s="80"/>
      <c r="CG122" s="80"/>
      <c r="CH122" s="92"/>
      <c r="CJ122" s="135">
        <f>$Q$24</f>
        <v>21</v>
      </c>
      <c r="CK122" s="135" t="str">
        <f t="shared" si="9"/>
        <v>Iniciados</v>
      </c>
      <c r="CL122" s="135" t="str">
        <f t="shared" si="10"/>
        <v>Pares</v>
      </c>
      <c r="CM122" s="135" t="str">
        <f t="shared" si="11"/>
        <v>Masculinos</v>
      </c>
      <c r="CN122" s="135" t="str">
        <f>$Q$5</f>
        <v>Grupo C</v>
      </c>
      <c r="CO122" s="135" t="str">
        <f>$R$24</f>
        <v>V Murteira/V Vicente (Lisboa)</v>
      </c>
      <c r="CP122" s="135" t="str">
        <f>$R$25</f>
        <v/>
      </c>
    </row>
    <row r="123" spans="53:94" ht="15" hidden="1" customHeight="1">
      <c r="BA123" s="88"/>
      <c r="BB123" s="298" t="str">
        <f>IF($BB$107="","",$BB$107)</f>
        <v/>
      </c>
      <c r="BC123" s="299"/>
      <c r="BD123" s="74"/>
      <c r="BE123" s="75"/>
      <c r="BF123" s="75"/>
      <c r="BG123" s="75"/>
      <c r="BH123" s="75"/>
      <c r="BI123" s="75"/>
      <c r="BJ123" s="75"/>
      <c r="BK123" s="75"/>
      <c r="BL123" s="75"/>
      <c r="BM123" s="76"/>
      <c r="BN123" s="254"/>
      <c r="BO123" s="256"/>
      <c r="BP123" s="77"/>
      <c r="BQ123" s="77"/>
      <c r="BR123" s="77"/>
      <c r="BS123" s="78"/>
      <c r="BT123" s="75"/>
      <c r="BU123" s="75"/>
      <c r="BV123" s="75"/>
      <c r="BW123" s="75"/>
      <c r="BX123" s="254"/>
      <c r="BY123" s="76"/>
      <c r="BZ123" s="75"/>
      <c r="CA123" s="75"/>
      <c r="CB123" s="75"/>
      <c r="CC123" s="75"/>
      <c r="CD123" s="75"/>
      <c r="CE123" s="75"/>
      <c r="CF123" s="75"/>
      <c r="CG123" s="75"/>
      <c r="CH123" s="98" t="s">
        <v>3</v>
      </c>
      <c r="CJ123" s="135">
        <f>$Q$26</f>
        <v>22</v>
      </c>
      <c r="CK123" s="135" t="str">
        <f t="shared" si="9"/>
        <v>Iniciados</v>
      </c>
      <c r="CL123" s="135" t="str">
        <f t="shared" si="10"/>
        <v>Pares</v>
      </c>
      <c r="CM123" s="135" t="str">
        <f t="shared" si="11"/>
        <v>Masculinos</v>
      </c>
      <c r="CN123" s="135" t="str">
        <f>$Q$5</f>
        <v>Grupo C</v>
      </c>
      <c r="CO123" s="135" t="str">
        <f>$R$26</f>
        <v/>
      </c>
      <c r="CP123" s="135" t="str">
        <f>$R$27</f>
        <v>A Ferreira/P Nunes (Centro)</v>
      </c>
    </row>
    <row r="124" spans="53:94" ht="15" hidden="1" customHeight="1">
      <c r="BA124" s="88"/>
      <c r="BB124" s="300"/>
      <c r="BC124" s="301"/>
      <c r="BD124" s="79"/>
      <c r="BE124" s="80"/>
      <c r="BF124" s="80"/>
      <c r="BG124" s="80"/>
      <c r="BH124" s="80"/>
      <c r="BI124" s="80"/>
      <c r="BJ124" s="80"/>
      <c r="BK124" s="80"/>
      <c r="BL124" s="80"/>
      <c r="BM124" s="81"/>
      <c r="BN124" s="255"/>
      <c r="BO124" s="257"/>
      <c r="BP124" s="82"/>
      <c r="BQ124" s="82"/>
      <c r="BR124" s="82"/>
      <c r="BS124" s="83"/>
      <c r="BT124" s="80"/>
      <c r="BU124" s="80"/>
      <c r="BV124" s="80"/>
      <c r="BW124" s="80"/>
      <c r="BX124" s="255"/>
      <c r="BY124" s="81"/>
      <c r="BZ124" s="80"/>
      <c r="CA124" s="80"/>
      <c r="CB124" s="80"/>
      <c r="CC124" s="80"/>
      <c r="CD124" s="80"/>
      <c r="CE124" s="80"/>
      <c r="CF124" s="80"/>
      <c r="CG124" s="80"/>
      <c r="CH124" s="92"/>
      <c r="CJ124" s="135">
        <f>$X$24</f>
        <v>23</v>
      </c>
      <c r="CK124" s="135" t="str">
        <f t="shared" si="9"/>
        <v>Iniciados</v>
      </c>
      <c r="CL124" s="135" t="str">
        <f t="shared" si="10"/>
        <v>Pares</v>
      </c>
      <c r="CM124" s="135" t="str">
        <f t="shared" si="11"/>
        <v>Masculinos</v>
      </c>
      <c r="CN124" s="135" t="str">
        <f>$X$5</f>
        <v>Grupo D</v>
      </c>
      <c r="CO124" s="135" t="str">
        <f>$Y$24</f>
        <v>L Macrino/G Moita (Lisboa)</v>
      </c>
      <c r="CP124" s="135" t="str">
        <f>$Y$25</f>
        <v/>
      </c>
    </row>
    <row r="125" spans="53:94" ht="65.25" hidden="1" customHeight="1">
      <c r="BA125" s="102"/>
      <c r="BB125" s="103" t="s">
        <v>36</v>
      </c>
      <c r="BC125" s="104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1"/>
      <c r="CJ125" s="135">
        <f>$X$26</f>
        <v>24</v>
      </c>
      <c r="CK125" s="135" t="str">
        <f t="shared" si="9"/>
        <v>Iniciados</v>
      </c>
      <c r="CL125" s="135" t="str">
        <f t="shared" si="10"/>
        <v>Pares</v>
      </c>
      <c r="CM125" s="135" t="str">
        <f t="shared" si="11"/>
        <v>Masculinos</v>
      </c>
      <c r="CN125" s="135" t="str">
        <f>$X$5</f>
        <v>Grupo D</v>
      </c>
      <c r="CO125" s="135" t="str">
        <f>$Y$26</f>
        <v>M Pinela/S Boavista (Alentejo)</v>
      </c>
      <c r="CP125" s="135" t="str">
        <f>$Y$27</f>
        <v>F Moreira/H Ribeiro (Norte)</v>
      </c>
    </row>
    <row r="126" spans="53:94" ht="136.5" hidden="1" customHeight="1">
      <c r="BA126" s="314" t="s">
        <v>64</v>
      </c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J126" s="135">
        <f>$H$31</f>
        <v>25</v>
      </c>
      <c r="CK126" s="135" t="str">
        <f t="shared" si="9"/>
        <v>Iniciados</v>
      </c>
      <c r="CL126" s="135" t="str">
        <f t="shared" si="10"/>
        <v>Pares</v>
      </c>
      <c r="CM126" s="135" t="str">
        <f t="shared" si="11"/>
        <v>Masculinos</v>
      </c>
      <c r="CN126" s="135" t="str">
        <f>"1º Jogo dos 1/4 final"</f>
        <v>1º Jogo dos 1/4 final</v>
      </c>
      <c r="CO126" s="135" t="str">
        <f>$C$30</f>
        <v>1º do grupo A</v>
      </c>
      <c r="CP126" s="135" t="str">
        <f>$C$32</f>
        <v>2º do grupo B</v>
      </c>
    </row>
    <row r="127" spans="53:94" ht="64.5" hidden="1" customHeight="1">
      <c r="BA127" s="87"/>
      <c r="BB127" s="315" t="str">
        <f>IF(BC128="","",CONCATENATE(VLOOKUP(BC128,$CJ$102:$CP$145,2,FALSE),"  -  ",VLOOKUP(BC128,$CJ$102:$CP$145,3,FALSE),,"  -  ",VLOOKUP(BC128,$CJ$102:$CP$145,4,FALSE),"  -  ",VLOOKUP(BC128,$CJ$102:$CP$145,5,FALSE)))</f>
        <v>Iniciados  -  Pares  -  Masculinos  -  Grupo A</v>
      </c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76"/>
      <c r="CJ127" s="135">
        <f>$H$35</f>
        <v>26</v>
      </c>
      <c r="CK127" s="135" t="str">
        <f t="shared" si="9"/>
        <v>Iniciados</v>
      </c>
      <c r="CL127" s="135" t="str">
        <f t="shared" si="10"/>
        <v>Pares</v>
      </c>
      <c r="CM127" s="135" t="str">
        <f t="shared" si="11"/>
        <v>Masculinos</v>
      </c>
      <c r="CN127" s="135" t="str">
        <f>"2º Jogo dos 1/4 final"</f>
        <v>2º Jogo dos 1/4 final</v>
      </c>
      <c r="CO127" s="135" t="str">
        <f>$C$34</f>
        <v>2º do grupo D</v>
      </c>
      <c r="CP127" s="135" t="str">
        <f>$C$36</f>
        <v>1º do grupo C</v>
      </c>
    </row>
    <row r="128" spans="53:94" ht="30" hidden="1" customHeight="1">
      <c r="BA128" s="88"/>
      <c r="BB128" s="89" t="s">
        <v>26</v>
      </c>
      <c r="BC128" s="137">
        <f>IF($AI$27="","",$AI$27)</f>
        <v>2</v>
      </c>
      <c r="BD128" s="84"/>
      <c r="BE128" s="84"/>
      <c r="BF128" s="84"/>
      <c r="BG128" s="84"/>
      <c r="BH128" s="84"/>
      <c r="BI128" s="84"/>
      <c r="BJ128" s="251" t="s">
        <v>65</v>
      </c>
      <c r="BK128" s="84"/>
      <c r="BL128" s="84"/>
      <c r="BM128" s="252"/>
      <c r="BN128" s="253"/>
      <c r="BO128" s="90"/>
      <c r="BP128" s="90"/>
      <c r="BQ128" s="90"/>
      <c r="BR128" s="91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92"/>
      <c r="CJ128" s="135">
        <f>$H$39</f>
        <v>27</v>
      </c>
      <c r="CK128" s="135" t="str">
        <f t="shared" si="9"/>
        <v>Iniciados</v>
      </c>
      <c r="CL128" s="135" t="str">
        <f t="shared" si="10"/>
        <v>Pares</v>
      </c>
      <c r="CM128" s="135" t="str">
        <f t="shared" si="11"/>
        <v>Masculinos</v>
      </c>
      <c r="CN128" s="135" t="str">
        <f>"3º Jogo dos 1/4 final"</f>
        <v>3º Jogo dos 1/4 final</v>
      </c>
      <c r="CO128" s="135" t="str">
        <f>$C$38</f>
        <v>1º do grupo B</v>
      </c>
      <c r="CP128" s="135" t="str">
        <f>$C$40</f>
        <v>2º do grupo A</v>
      </c>
    </row>
    <row r="129" spans="53:94" ht="7.5" hidden="1" customHeight="1">
      <c r="BA129" s="88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92"/>
      <c r="CJ129" s="135">
        <f>$H$43</f>
        <v>28</v>
      </c>
      <c r="CK129" s="135" t="str">
        <f t="shared" si="9"/>
        <v>Iniciados</v>
      </c>
      <c r="CL129" s="135" t="str">
        <f t="shared" si="10"/>
        <v>Pares</v>
      </c>
      <c r="CM129" s="135" t="str">
        <f t="shared" si="11"/>
        <v>Masculinos</v>
      </c>
      <c r="CN129" s="135" t="str">
        <f>"4º Jogo dos 1/4 final"</f>
        <v>4º Jogo dos 1/4 final</v>
      </c>
      <c r="CO129" s="135" t="str">
        <f>$C$42</f>
        <v>2º do grupo C</v>
      </c>
      <c r="CP129" s="135" t="str">
        <f>$C$44</f>
        <v>1º do grupo D</v>
      </c>
    </row>
    <row r="130" spans="53:94" ht="17.25" hidden="1" customHeight="1" thickBot="1">
      <c r="BA130" s="88"/>
      <c r="BB130" s="316" t="s">
        <v>35</v>
      </c>
      <c r="BC130" s="316"/>
      <c r="BD130" s="93" t="s">
        <v>21</v>
      </c>
      <c r="BE130" s="93"/>
      <c r="BF130" s="93"/>
      <c r="BG130" s="93" t="s">
        <v>22</v>
      </c>
      <c r="BH130" s="93"/>
      <c r="BI130" s="93"/>
      <c r="BJ130" s="93" t="s">
        <v>23</v>
      </c>
      <c r="BK130" s="93"/>
      <c r="BL130" s="93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92"/>
      <c r="CJ130" s="135">
        <f>$O$33</f>
        <v>29</v>
      </c>
      <c r="CK130" s="135" t="str">
        <f t="shared" si="9"/>
        <v>Iniciados</v>
      </c>
      <c r="CL130" s="135" t="str">
        <f t="shared" si="10"/>
        <v>Pares</v>
      </c>
      <c r="CM130" s="135" t="str">
        <f t="shared" si="11"/>
        <v>Masculinos</v>
      </c>
      <c r="CN130" s="135" t="str">
        <f>"1ª Meia Final"</f>
        <v>1ª Meia Final</v>
      </c>
      <c r="CO130" s="135" t="str">
        <f>$I$31</f>
        <v>1ª Meia Final-Jogador1</v>
      </c>
      <c r="CP130" s="135" t="str">
        <f>$I$35</f>
        <v>1ª Meia Final-Jogador2</v>
      </c>
    </row>
    <row r="131" spans="53:94" ht="19.5" hidden="1" customHeight="1">
      <c r="BA131" s="88"/>
      <c r="BB131" s="302" t="str">
        <f>IF(BC128="","",VLOOKUP(BC128,$CJ$102:$CP$145,6,FALSE))</f>
        <v>G Almeida/H Aston (Norte)</v>
      </c>
      <c r="BC131" s="303"/>
      <c r="BD131" s="302"/>
      <c r="BE131" s="306"/>
      <c r="BF131" s="303"/>
      <c r="BG131" s="302"/>
      <c r="BH131" s="306"/>
      <c r="BI131" s="303"/>
      <c r="BJ131" s="302"/>
      <c r="BK131" s="306"/>
      <c r="BL131" s="303"/>
      <c r="BM131" s="72"/>
      <c r="BN131" s="72"/>
      <c r="BO131" s="308"/>
      <c r="BP131" s="308"/>
      <c r="BQ131" s="308"/>
      <c r="BR131" s="94"/>
      <c r="BS131" s="95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92"/>
      <c r="CJ131" s="135">
        <f>$O$41</f>
        <v>30</v>
      </c>
      <c r="CK131" s="135" t="str">
        <f t="shared" si="9"/>
        <v>Iniciados</v>
      </c>
      <c r="CL131" s="135" t="str">
        <f t="shared" si="10"/>
        <v>Pares</v>
      </c>
      <c r="CM131" s="135" t="str">
        <f t="shared" si="11"/>
        <v>Masculinos</v>
      </c>
      <c r="CN131" s="135" t="str">
        <f>"2ª Meia Final"</f>
        <v>2ª Meia Final</v>
      </c>
      <c r="CO131" s="135" t="str">
        <f>$I$39</f>
        <v>2ª Meia Final-Jogador1</v>
      </c>
      <c r="CP131" s="135" t="str">
        <f>$I$43</f>
        <v>2ª Meia Final-Jogador2</v>
      </c>
    </row>
    <row r="132" spans="53:94" ht="19.5" hidden="1" customHeight="1" thickBot="1">
      <c r="BA132" s="88"/>
      <c r="BB132" s="304"/>
      <c r="BC132" s="305"/>
      <c r="BD132" s="304"/>
      <c r="BE132" s="307"/>
      <c r="BF132" s="305"/>
      <c r="BG132" s="304"/>
      <c r="BH132" s="307"/>
      <c r="BI132" s="305"/>
      <c r="BJ132" s="304"/>
      <c r="BK132" s="307"/>
      <c r="BL132" s="305"/>
      <c r="BM132" s="72"/>
      <c r="BN132" s="72"/>
      <c r="BO132" s="308"/>
      <c r="BP132" s="308"/>
      <c r="BQ132" s="308"/>
      <c r="BR132" s="94"/>
      <c r="BS132" s="95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92"/>
      <c r="CJ132" s="135">
        <f>$V$37</f>
        <v>31</v>
      </c>
      <c r="CK132" s="135" t="str">
        <f t="shared" si="9"/>
        <v>Iniciados</v>
      </c>
      <c r="CL132" s="135" t="str">
        <f t="shared" si="10"/>
        <v>Pares</v>
      </c>
      <c r="CM132" s="135" t="str">
        <f t="shared" si="11"/>
        <v>Masculinos</v>
      </c>
      <c r="CN132" s="135" t="str">
        <f>"Jogo 3º/4º lugar"</f>
        <v>Jogo 3º/4º lugar</v>
      </c>
      <c r="CO132" s="135" t="str">
        <f>$P$35</f>
        <v>Disputa 3º/4º  Jogador1</v>
      </c>
      <c r="CP132" s="135" t="str">
        <f>$P$39</f>
        <v>Disputa 3º/4º  Jogador2</v>
      </c>
    </row>
    <row r="133" spans="53:94" ht="19.5" hidden="1" customHeight="1">
      <c r="BA133" s="88"/>
      <c r="BB133" s="302" t="str">
        <f>IF(BC128="","",VLOOKUP(BC128,$CJ$102:$CP$145,7,FALSE))</f>
        <v/>
      </c>
      <c r="BC133" s="303"/>
      <c r="BD133" s="302"/>
      <c r="BE133" s="306"/>
      <c r="BF133" s="303"/>
      <c r="BG133" s="302"/>
      <c r="BH133" s="306"/>
      <c r="BI133" s="303"/>
      <c r="BJ133" s="302"/>
      <c r="BK133" s="306"/>
      <c r="BL133" s="303"/>
      <c r="BM133" s="72"/>
      <c r="BN133" s="72"/>
      <c r="BO133" s="308"/>
      <c r="BP133" s="308"/>
      <c r="BQ133" s="308"/>
      <c r="BR133" s="94"/>
      <c r="BS133" s="95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92"/>
      <c r="CJ133" s="136">
        <f>$W$37</f>
        <v>32</v>
      </c>
      <c r="CK133" s="136" t="str">
        <f t="shared" si="9"/>
        <v>Iniciados</v>
      </c>
      <c r="CL133" s="136" t="str">
        <f t="shared" si="10"/>
        <v>Pares</v>
      </c>
      <c r="CM133" s="136" t="str">
        <f t="shared" si="11"/>
        <v>Masculinos</v>
      </c>
      <c r="CN133" s="136" t="str">
        <f>"Final"</f>
        <v>Final</v>
      </c>
      <c r="CO133" s="136" t="str">
        <f>$P$33</f>
        <v>Final-Jogador1</v>
      </c>
      <c r="CP133" s="136" t="str">
        <f>$P$41</f>
        <v>Final-Jogador2</v>
      </c>
    </row>
    <row r="134" spans="53:94" ht="19.5" hidden="1" customHeight="1" thickBot="1">
      <c r="BA134" s="88"/>
      <c r="BB134" s="304"/>
      <c r="BC134" s="305"/>
      <c r="BD134" s="304"/>
      <c r="BE134" s="307"/>
      <c r="BF134" s="305"/>
      <c r="BG134" s="304"/>
      <c r="BH134" s="307"/>
      <c r="BI134" s="305"/>
      <c r="BJ134" s="304"/>
      <c r="BK134" s="307"/>
      <c r="BL134" s="305"/>
      <c r="BM134" s="72"/>
      <c r="BN134" s="72"/>
      <c r="BO134" s="308"/>
      <c r="BP134" s="308"/>
      <c r="BQ134" s="308"/>
      <c r="BR134" s="96"/>
      <c r="BS134" s="95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92"/>
      <c r="CJ134" s="135">
        <f>$O$52</f>
        <v>33</v>
      </c>
      <c r="CK134" s="135" t="str">
        <f t="shared" si="9"/>
        <v>Iniciados</v>
      </c>
      <c r="CL134" s="135" t="str">
        <f t="shared" si="10"/>
        <v>Pares</v>
      </c>
      <c r="CM134" s="135" t="str">
        <f t="shared" si="11"/>
        <v>Masculinos</v>
      </c>
      <c r="CN134" s="135" t="str">
        <f>"Disp 5º-8º - Jogo1"</f>
        <v>Disp 5º-8º - Jogo1</v>
      </c>
      <c r="CO134" s="135" t="str">
        <f>$I$50</f>
        <v>Vencido do jogo 25</v>
      </c>
      <c r="CP134" s="135" t="str">
        <f>$I$54</f>
        <v>Vencido do jogo 26</v>
      </c>
    </row>
    <row r="135" spans="53:94" ht="22.5" hidden="1" customHeight="1" thickBot="1">
      <c r="BA135" s="88"/>
      <c r="BB135" s="97" t="s">
        <v>24</v>
      </c>
      <c r="BC135" s="309"/>
      <c r="BD135" s="310"/>
      <c r="BE135" s="310"/>
      <c r="BF135" s="310"/>
      <c r="BG135" s="311"/>
      <c r="BH135" s="311"/>
      <c r="BI135" s="311"/>
      <c r="BJ135" s="311"/>
      <c r="BK135" s="311"/>
      <c r="BL135" s="311"/>
      <c r="BM135" s="312"/>
      <c r="BN135" s="313"/>
      <c r="BO135" s="313"/>
      <c r="BP135" s="313"/>
      <c r="BQ135" s="313"/>
      <c r="BR135" s="95"/>
      <c r="BS135" s="95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92"/>
      <c r="CJ135" s="135">
        <f>$O$60</f>
        <v>34</v>
      </c>
      <c r="CK135" s="135" t="str">
        <f t="shared" si="9"/>
        <v>Iniciados</v>
      </c>
      <c r="CL135" s="135" t="str">
        <f t="shared" si="10"/>
        <v>Pares</v>
      </c>
      <c r="CM135" s="135" t="str">
        <f t="shared" si="11"/>
        <v>Masculinos</v>
      </c>
      <c r="CN135" s="135" t="str">
        <f>"Disp 5º-8º - Jogo2"</f>
        <v>Disp 5º-8º - Jogo2</v>
      </c>
      <c r="CO135" s="135" t="str">
        <f>$I$58</f>
        <v>Vencido do jogo 27</v>
      </c>
      <c r="CP135" s="135" t="str">
        <f>$I$62</f>
        <v>Vencido do jogo 28</v>
      </c>
    </row>
    <row r="136" spans="53:94" ht="18.75" hidden="1" customHeight="1">
      <c r="BA136" s="88"/>
      <c r="BB136" s="73" t="s">
        <v>35</v>
      </c>
      <c r="BC136" s="73"/>
      <c r="BD136" s="73"/>
      <c r="BE136" s="73"/>
      <c r="BF136" s="73"/>
      <c r="BG136" s="73"/>
      <c r="BH136" s="7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92"/>
      <c r="CJ136" s="135">
        <f>$V$56</f>
        <v>35</v>
      </c>
      <c r="CK136" s="135" t="str">
        <f t="shared" si="9"/>
        <v>Iniciados</v>
      </c>
      <c r="CL136" s="135" t="str">
        <f t="shared" si="10"/>
        <v>Pares</v>
      </c>
      <c r="CM136" s="135" t="str">
        <f t="shared" si="11"/>
        <v>Masculinos</v>
      </c>
      <c r="CN136" s="135" t="str">
        <f>"Jogo 7º/8º lugar"</f>
        <v>Jogo 7º/8º lugar</v>
      </c>
      <c r="CO136" s="135" t="str">
        <f>$P$54</f>
        <v>Disputa 7º/8º  Jogador1</v>
      </c>
      <c r="CP136" s="135" t="str">
        <f>$P$58</f>
        <v>Disputa 7º/8º  Jogador2</v>
      </c>
    </row>
    <row r="137" spans="53:94" ht="15" hidden="1" customHeight="1">
      <c r="BA137" s="88"/>
      <c r="BB137" s="298" t="str">
        <f>IF($BB$131="","",$BB$131)</f>
        <v>G Almeida/H Aston (Norte)</v>
      </c>
      <c r="BC137" s="299"/>
      <c r="BD137" s="74"/>
      <c r="BE137" s="75"/>
      <c r="BF137" s="75"/>
      <c r="BG137" s="75"/>
      <c r="BH137" s="75"/>
      <c r="BI137" s="75"/>
      <c r="BJ137" s="75"/>
      <c r="BK137" s="75"/>
      <c r="BL137" s="75"/>
      <c r="BM137" s="76"/>
      <c r="BN137" s="254"/>
      <c r="BO137" s="256"/>
      <c r="BP137" s="77"/>
      <c r="BQ137" s="77"/>
      <c r="BR137" s="77"/>
      <c r="BS137" s="78"/>
      <c r="BT137" s="75"/>
      <c r="BU137" s="75"/>
      <c r="BV137" s="75"/>
      <c r="BW137" s="75"/>
      <c r="BX137" s="254"/>
      <c r="BY137" s="76"/>
      <c r="BZ137" s="75"/>
      <c r="CA137" s="75"/>
      <c r="CB137" s="75"/>
      <c r="CC137" s="75"/>
      <c r="CD137" s="75"/>
      <c r="CE137" s="75"/>
      <c r="CF137" s="75"/>
      <c r="CG137" s="75"/>
      <c r="CH137" s="92"/>
      <c r="CJ137" s="136">
        <f>$W$56</f>
        <v>36</v>
      </c>
      <c r="CK137" s="136" t="str">
        <f t="shared" si="9"/>
        <v>Iniciados</v>
      </c>
      <c r="CL137" s="136" t="str">
        <f t="shared" si="10"/>
        <v>Pares</v>
      </c>
      <c r="CM137" s="136" t="str">
        <f t="shared" si="11"/>
        <v>Masculinos</v>
      </c>
      <c r="CN137" s="136" t="str">
        <f>"Jogo 5º/6º lugar"</f>
        <v>Jogo 5º/6º lugar</v>
      </c>
      <c r="CO137" s="136" t="str">
        <f>$P$52</f>
        <v>Disputa 5º/6º Jogador1</v>
      </c>
      <c r="CP137" s="136" t="str">
        <f>$P$60</f>
        <v>Disputa 5º/6º Jogador2</v>
      </c>
    </row>
    <row r="138" spans="53:94" ht="15" hidden="1" customHeight="1">
      <c r="BA138" s="88"/>
      <c r="BB138" s="300"/>
      <c r="BC138" s="301"/>
      <c r="BD138" s="79"/>
      <c r="BE138" s="80"/>
      <c r="BF138" s="80"/>
      <c r="BG138" s="80"/>
      <c r="BH138" s="80"/>
      <c r="BI138" s="80"/>
      <c r="BJ138" s="80"/>
      <c r="BK138" s="80"/>
      <c r="BL138" s="80"/>
      <c r="BM138" s="81"/>
      <c r="BN138" s="255"/>
      <c r="BO138" s="257"/>
      <c r="BP138" s="82"/>
      <c r="BQ138" s="82"/>
      <c r="BR138" s="82"/>
      <c r="BS138" s="83"/>
      <c r="BT138" s="80"/>
      <c r="BU138" s="80"/>
      <c r="BV138" s="80"/>
      <c r="BW138" s="80"/>
      <c r="BX138" s="255"/>
      <c r="BY138" s="81"/>
      <c r="BZ138" s="80"/>
      <c r="CA138" s="80"/>
      <c r="CB138" s="80"/>
      <c r="CC138" s="80"/>
      <c r="CD138" s="80"/>
      <c r="CE138" s="80"/>
      <c r="CF138" s="80"/>
      <c r="CG138" s="80"/>
      <c r="CH138" s="98" t="s">
        <v>1</v>
      </c>
      <c r="CJ138" s="136">
        <v>37</v>
      </c>
      <c r="CK138" s="136" t="str">
        <f t="shared" si="9"/>
        <v>Iniciados</v>
      </c>
      <c r="CL138" s="136" t="str">
        <f t="shared" si="10"/>
        <v>Pares</v>
      </c>
      <c r="CM138" s="136" t="str">
        <f t="shared" si="11"/>
        <v>Masculinos</v>
      </c>
      <c r="CN138" s="136" t="str">
        <f>"Disp 9º-12º - Jogo1"</f>
        <v>Disp 9º-12º - Jogo1</v>
      </c>
      <c r="CO138" s="136" t="str">
        <f>$I$68</f>
        <v>3º  do Grupo A</v>
      </c>
      <c r="CP138" s="136" t="str">
        <f>$I$72</f>
        <v>3º  do Grupo B</v>
      </c>
    </row>
    <row r="139" spans="53:94" ht="15" hidden="1" customHeight="1">
      <c r="BA139" s="88"/>
      <c r="BB139" s="298" t="str">
        <f>IF($BB$133="","",$BB$133)</f>
        <v/>
      </c>
      <c r="BC139" s="299"/>
      <c r="BD139" s="74"/>
      <c r="BE139" s="75"/>
      <c r="BF139" s="75"/>
      <c r="BG139" s="75"/>
      <c r="BH139" s="75"/>
      <c r="BI139" s="75"/>
      <c r="BJ139" s="75"/>
      <c r="BK139" s="75"/>
      <c r="BL139" s="75"/>
      <c r="BM139" s="76"/>
      <c r="BN139" s="254"/>
      <c r="BO139" s="256"/>
      <c r="BP139" s="77"/>
      <c r="BQ139" s="77"/>
      <c r="BR139" s="77"/>
      <c r="BS139" s="78"/>
      <c r="BT139" s="75"/>
      <c r="BU139" s="75"/>
      <c r="BV139" s="75"/>
      <c r="BW139" s="75"/>
      <c r="BX139" s="254"/>
      <c r="BY139" s="76"/>
      <c r="BZ139" s="75"/>
      <c r="CA139" s="75"/>
      <c r="CB139" s="75"/>
      <c r="CC139" s="75"/>
      <c r="CD139" s="75"/>
      <c r="CE139" s="75"/>
      <c r="CF139" s="75"/>
      <c r="CG139" s="75"/>
      <c r="CH139" s="99"/>
      <c r="CJ139" s="136">
        <v>38</v>
      </c>
      <c r="CK139" s="136" t="str">
        <f t="shared" si="9"/>
        <v>Iniciados</v>
      </c>
      <c r="CL139" s="136" t="str">
        <f t="shared" si="10"/>
        <v>Pares</v>
      </c>
      <c r="CM139" s="136" t="str">
        <f t="shared" si="11"/>
        <v>Masculinos</v>
      </c>
      <c r="CN139" s="136" t="str">
        <f>"Disp 9º-12º - Jogo2"</f>
        <v>Disp 9º-12º - Jogo2</v>
      </c>
      <c r="CO139" s="136" t="str">
        <f>$I$76</f>
        <v>3º  do Grupo C</v>
      </c>
      <c r="CP139" s="136" t="str">
        <f>$I$80</f>
        <v>3º  do Grupo D</v>
      </c>
    </row>
    <row r="140" spans="53:94" ht="15" hidden="1" customHeight="1">
      <c r="BA140" s="88"/>
      <c r="BB140" s="300"/>
      <c r="BC140" s="301"/>
      <c r="BD140" s="79"/>
      <c r="BE140" s="80"/>
      <c r="BF140" s="80"/>
      <c r="BG140" s="80"/>
      <c r="BH140" s="80"/>
      <c r="BI140" s="80"/>
      <c r="BJ140" s="80"/>
      <c r="BK140" s="80"/>
      <c r="BL140" s="80"/>
      <c r="BM140" s="81"/>
      <c r="BN140" s="255"/>
      <c r="BO140" s="257"/>
      <c r="BP140" s="82"/>
      <c r="BQ140" s="82"/>
      <c r="BR140" s="82"/>
      <c r="BS140" s="83"/>
      <c r="BT140" s="80"/>
      <c r="BU140" s="80"/>
      <c r="BV140" s="80"/>
      <c r="BW140" s="80"/>
      <c r="BX140" s="255"/>
      <c r="BY140" s="81"/>
      <c r="BZ140" s="80"/>
      <c r="CA140" s="80"/>
      <c r="CB140" s="80"/>
      <c r="CC140" s="80"/>
      <c r="CD140" s="80"/>
      <c r="CE140" s="80"/>
      <c r="CF140" s="80"/>
      <c r="CG140" s="80"/>
      <c r="CH140" s="92"/>
      <c r="CJ140" s="136">
        <v>39</v>
      </c>
      <c r="CK140" s="136" t="str">
        <f t="shared" si="9"/>
        <v>Iniciados</v>
      </c>
      <c r="CL140" s="136" t="str">
        <f t="shared" si="10"/>
        <v>Pares</v>
      </c>
      <c r="CM140" s="136" t="str">
        <f t="shared" si="11"/>
        <v>Masculinos</v>
      </c>
      <c r="CN140" s="136" t="str">
        <f>"Jogo 11º/12º lugar"</f>
        <v>Jogo 11º/12º lugar</v>
      </c>
      <c r="CO140" s="136" t="str">
        <f>$P$72</f>
        <v>Disputa 11º/12º  Jogador1</v>
      </c>
      <c r="CP140" s="136" t="str">
        <f>$P$76</f>
        <v>Disputa 11º/12º  Jogador2</v>
      </c>
    </row>
    <row r="141" spans="53:94" ht="12.75" hidden="1" customHeight="1">
      <c r="BA141" s="88"/>
      <c r="BB141" s="84"/>
      <c r="BC141" s="84"/>
      <c r="BD141" s="100">
        <v>1</v>
      </c>
      <c r="BE141" s="100">
        <v>2</v>
      </c>
      <c r="BF141" s="100">
        <v>3</v>
      </c>
      <c r="BG141" s="100">
        <v>4</v>
      </c>
      <c r="BH141" s="100">
        <v>5</v>
      </c>
      <c r="BI141" s="100">
        <v>6</v>
      </c>
      <c r="BJ141" s="100">
        <v>7</v>
      </c>
      <c r="BK141" s="100">
        <v>8</v>
      </c>
      <c r="BL141" s="100">
        <v>9</v>
      </c>
      <c r="BM141" s="100">
        <v>10</v>
      </c>
      <c r="BN141" s="100">
        <v>11</v>
      </c>
      <c r="BO141" s="100">
        <v>12</v>
      </c>
      <c r="BP141" s="100">
        <v>13</v>
      </c>
      <c r="BQ141" s="100">
        <v>14</v>
      </c>
      <c r="BR141" s="100">
        <v>15</v>
      </c>
      <c r="BS141" s="100">
        <v>16</v>
      </c>
      <c r="BT141" s="100">
        <v>17</v>
      </c>
      <c r="BU141" s="100">
        <v>18</v>
      </c>
      <c r="BV141" s="100">
        <v>19</v>
      </c>
      <c r="BW141" s="100">
        <v>20</v>
      </c>
      <c r="BX141" s="100">
        <v>21</v>
      </c>
      <c r="BY141" s="100">
        <v>22</v>
      </c>
      <c r="BZ141" s="100">
        <v>23</v>
      </c>
      <c r="CA141" s="100">
        <v>24</v>
      </c>
      <c r="CB141" s="100">
        <v>25</v>
      </c>
      <c r="CC141" s="100">
        <v>26</v>
      </c>
      <c r="CD141" s="100">
        <v>27</v>
      </c>
      <c r="CE141" s="100">
        <v>28</v>
      </c>
      <c r="CF141" s="100">
        <v>29</v>
      </c>
      <c r="CG141" s="100">
        <v>30</v>
      </c>
      <c r="CH141" s="101"/>
      <c r="CJ141" s="136">
        <v>40</v>
      </c>
      <c r="CK141" s="136" t="str">
        <f t="shared" si="9"/>
        <v>Iniciados</v>
      </c>
      <c r="CL141" s="136" t="str">
        <f t="shared" si="10"/>
        <v>Pares</v>
      </c>
      <c r="CM141" s="136" t="str">
        <f t="shared" si="11"/>
        <v>Masculinos</v>
      </c>
      <c r="CN141" s="136" t="str">
        <f>"Jogo 9º/10º lugar"</f>
        <v>Jogo 9º/10º lugar</v>
      </c>
      <c r="CO141" s="136" t="str">
        <f>$P$70</f>
        <v>Disputa 9º/10º Jogador1</v>
      </c>
      <c r="CP141" s="136" t="str">
        <f>$P$78</f>
        <v>Disputa 9º/10º Jogador2</v>
      </c>
    </row>
    <row r="142" spans="53:94" ht="15" hidden="1" customHeight="1">
      <c r="BA142" s="88"/>
      <c r="BB142" s="298" t="str">
        <f>IF($BB$131="","",$BB$131)</f>
        <v>G Almeida/H Aston (Norte)</v>
      </c>
      <c r="BC142" s="299"/>
      <c r="BD142" s="74"/>
      <c r="BE142" s="75"/>
      <c r="BF142" s="75"/>
      <c r="BG142" s="75"/>
      <c r="BH142" s="75"/>
      <c r="BI142" s="75"/>
      <c r="BJ142" s="75"/>
      <c r="BK142" s="75"/>
      <c r="BL142" s="75"/>
      <c r="BM142" s="76"/>
      <c r="BN142" s="254"/>
      <c r="BO142" s="256"/>
      <c r="BP142" s="77"/>
      <c r="BQ142" s="77"/>
      <c r="BR142" s="77"/>
      <c r="BS142" s="78"/>
      <c r="BT142" s="75"/>
      <c r="BU142" s="75"/>
      <c r="BV142" s="75"/>
      <c r="BW142" s="75"/>
      <c r="BX142" s="254"/>
      <c r="BY142" s="76"/>
      <c r="BZ142" s="75"/>
      <c r="CA142" s="75"/>
      <c r="CB142" s="75"/>
      <c r="CC142" s="75"/>
      <c r="CD142" s="75"/>
      <c r="CE142" s="75"/>
      <c r="CF142" s="75"/>
      <c r="CG142" s="75"/>
      <c r="CH142" s="92"/>
      <c r="CJ142" s="136">
        <v>41</v>
      </c>
      <c r="CK142" s="136" t="str">
        <f t="shared" si="9"/>
        <v>Iniciados</v>
      </c>
      <c r="CL142" s="136" t="str">
        <f t="shared" si="10"/>
        <v>Pares</v>
      </c>
      <c r="CM142" s="136" t="str">
        <f t="shared" si="11"/>
        <v>Masculinos</v>
      </c>
      <c r="CN142" s="136" t="str">
        <f>"Disp 13º-16º - Jogo1"</f>
        <v>Disp 13º-16º - Jogo1</v>
      </c>
      <c r="CO142" s="136" t="str">
        <f>$I$86</f>
        <v>4º  do Grupo A</v>
      </c>
      <c r="CP142" s="136" t="str">
        <f>$I$90</f>
        <v>4º  do Grupo B</v>
      </c>
    </row>
    <row r="143" spans="53:94" ht="15" hidden="1" customHeight="1">
      <c r="BA143" s="88"/>
      <c r="BB143" s="300"/>
      <c r="BC143" s="301"/>
      <c r="BD143" s="79"/>
      <c r="BE143" s="80"/>
      <c r="BF143" s="80"/>
      <c r="BG143" s="80"/>
      <c r="BH143" s="80"/>
      <c r="BI143" s="80"/>
      <c r="BJ143" s="80"/>
      <c r="BK143" s="80"/>
      <c r="BL143" s="80"/>
      <c r="BM143" s="81"/>
      <c r="BN143" s="255"/>
      <c r="BO143" s="257"/>
      <c r="BP143" s="82"/>
      <c r="BQ143" s="82"/>
      <c r="BR143" s="82"/>
      <c r="BS143" s="83"/>
      <c r="BT143" s="80"/>
      <c r="BU143" s="80"/>
      <c r="BV143" s="80"/>
      <c r="BW143" s="80"/>
      <c r="BX143" s="255"/>
      <c r="BY143" s="81"/>
      <c r="BZ143" s="80"/>
      <c r="CA143" s="80"/>
      <c r="CB143" s="80"/>
      <c r="CC143" s="80"/>
      <c r="CD143" s="80"/>
      <c r="CE143" s="80"/>
      <c r="CF143" s="80"/>
      <c r="CG143" s="80"/>
      <c r="CH143" s="92"/>
      <c r="CJ143" s="136">
        <v>42</v>
      </c>
      <c r="CK143" s="136" t="str">
        <f t="shared" si="9"/>
        <v>Iniciados</v>
      </c>
      <c r="CL143" s="136" t="str">
        <f t="shared" si="10"/>
        <v>Pares</v>
      </c>
      <c r="CM143" s="136" t="str">
        <f t="shared" si="11"/>
        <v>Masculinos</v>
      </c>
      <c r="CN143" s="136" t="str">
        <f>"Disp 13º-16º - Jogo2"</f>
        <v>Disp 13º-16º - Jogo2</v>
      </c>
      <c r="CO143" s="136" t="str">
        <f>$I$94</f>
        <v>4º  do Grupo C</v>
      </c>
      <c r="CP143" s="136" t="str">
        <f>$I$98</f>
        <v>4º  do Grupo D</v>
      </c>
    </row>
    <row r="144" spans="53:94" ht="15" hidden="1" customHeight="1">
      <c r="BA144" s="88"/>
      <c r="BB144" s="298" t="str">
        <f>IF($BB$133="","",$BB$133)</f>
        <v/>
      </c>
      <c r="BC144" s="299"/>
      <c r="BD144" s="74"/>
      <c r="BE144" s="75"/>
      <c r="BF144" s="75"/>
      <c r="BG144" s="75"/>
      <c r="BH144" s="75"/>
      <c r="BI144" s="75"/>
      <c r="BJ144" s="75"/>
      <c r="BK144" s="75"/>
      <c r="BL144" s="75"/>
      <c r="BM144" s="76"/>
      <c r="BN144" s="254"/>
      <c r="BO144" s="256"/>
      <c r="BP144" s="77"/>
      <c r="BQ144" s="77"/>
      <c r="BR144" s="77"/>
      <c r="BS144" s="78"/>
      <c r="BT144" s="75"/>
      <c r="BU144" s="75"/>
      <c r="BV144" s="75"/>
      <c r="BW144" s="75"/>
      <c r="BX144" s="254"/>
      <c r="BY144" s="76"/>
      <c r="BZ144" s="75"/>
      <c r="CA144" s="75"/>
      <c r="CB144" s="75"/>
      <c r="CC144" s="75"/>
      <c r="CD144" s="75"/>
      <c r="CE144" s="75"/>
      <c r="CF144" s="75"/>
      <c r="CG144" s="75"/>
      <c r="CH144" s="98" t="s">
        <v>2</v>
      </c>
      <c r="CJ144" s="136">
        <v>43</v>
      </c>
      <c r="CK144" s="136" t="str">
        <f t="shared" si="9"/>
        <v>Iniciados</v>
      </c>
      <c r="CL144" s="136" t="str">
        <f t="shared" si="10"/>
        <v>Pares</v>
      </c>
      <c r="CM144" s="136" t="str">
        <f t="shared" si="11"/>
        <v>Masculinos</v>
      </c>
      <c r="CN144" s="136" t="str">
        <f>"Jogo 15º/16º lugar"</f>
        <v>Jogo 15º/16º lugar</v>
      </c>
      <c r="CO144" s="136" t="str">
        <f>$P$90</f>
        <v>Disputa 15º/16º  Jogador1</v>
      </c>
      <c r="CP144" s="136" t="str">
        <f>$P$94</f>
        <v>Disputa 15º/16º  Jogador2</v>
      </c>
    </row>
    <row r="145" spans="53:94" ht="15" hidden="1" customHeight="1">
      <c r="BA145" s="88"/>
      <c r="BB145" s="300"/>
      <c r="BC145" s="301"/>
      <c r="BD145" s="79"/>
      <c r="BE145" s="80"/>
      <c r="BF145" s="80"/>
      <c r="BG145" s="80"/>
      <c r="BH145" s="80"/>
      <c r="BI145" s="80"/>
      <c r="BJ145" s="80"/>
      <c r="BK145" s="80"/>
      <c r="BL145" s="80"/>
      <c r="BM145" s="81"/>
      <c r="BN145" s="255"/>
      <c r="BO145" s="257"/>
      <c r="BP145" s="82"/>
      <c r="BQ145" s="82"/>
      <c r="BR145" s="82"/>
      <c r="BS145" s="83"/>
      <c r="BT145" s="80"/>
      <c r="BU145" s="80"/>
      <c r="BV145" s="80"/>
      <c r="BW145" s="80"/>
      <c r="BX145" s="255"/>
      <c r="BY145" s="81"/>
      <c r="BZ145" s="80"/>
      <c r="CA145" s="80"/>
      <c r="CB145" s="80"/>
      <c r="CC145" s="80"/>
      <c r="CD145" s="80"/>
      <c r="CE145" s="80"/>
      <c r="CF145" s="80"/>
      <c r="CG145" s="80"/>
      <c r="CH145" s="92"/>
      <c r="CJ145" s="136">
        <v>44</v>
      </c>
      <c r="CK145" s="136" t="str">
        <f t="shared" si="9"/>
        <v>Iniciados</v>
      </c>
      <c r="CL145" s="136" t="str">
        <f t="shared" si="10"/>
        <v>Pares</v>
      </c>
      <c r="CM145" s="136" t="str">
        <f t="shared" si="11"/>
        <v>Masculinos</v>
      </c>
      <c r="CN145" s="136" t="str">
        <f>"Jogo 13º/14º lugar"</f>
        <v>Jogo 13º/14º lugar</v>
      </c>
      <c r="CO145" s="136" t="str">
        <f>$P$88</f>
        <v>Disputa 13º/14º Jogador1</v>
      </c>
      <c r="CP145" s="136" t="str">
        <f>$P$96</f>
        <v>Disputa 13º/14º Jogador2</v>
      </c>
    </row>
    <row r="146" spans="53:94" ht="12.75" hidden="1" customHeight="1">
      <c r="BA146" s="88"/>
      <c r="BB146" s="84"/>
      <c r="BC146" s="84"/>
      <c r="BD146" s="100">
        <v>1</v>
      </c>
      <c r="BE146" s="100">
        <v>2</v>
      </c>
      <c r="BF146" s="100">
        <v>3</v>
      </c>
      <c r="BG146" s="100">
        <v>4</v>
      </c>
      <c r="BH146" s="100">
        <v>5</v>
      </c>
      <c r="BI146" s="100">
        <v>6</v>
      </c>
      <c r="BJ146" s="100">
        <v>7</v>
      </c>
      <c r="BK146" s="100">
        <v>8</v>
      </c>
      <c r="BL146" s="100">
        <v>9</v>
      </c>
      <c r="BM146" s="100">
        <v>10</v>
      </c>
      <c r="BN146" s="100">
        <v>11</v>
      </c>
      <c r="BO146" s="100">
        <v>12</v>
      </c>
      <c r="BP146" s="100">
        <v>13</v>
      </c>
      <c r="BQ146" s="100">
        <v>14</v>
      </c>
      <c r="BR146" s="100">
        <v>15</v>
      </c>
      <c r="BS146" s="100">
        <v>16</v>
      </c>
      <c r="BT146" s="100">
        <v>17</v>
      </c>
      <c r="BU146" s="100">
        <v>18</v>
      </c>
      <c r="BV146" s="100">
        <v>19</v>
      </c>
      <c r="BW146" s="100">
        <v>20</v>
      </c>
      <c r="BX146" s="100">
        <v>21</v>
      </c>
      <c r="BY146" s="100">
        <v>22</v>
      </c>
      <c r="BZ146" s="100">
        <v>23</v>
      </c>
      <c r="CA146" s="100">
        <v>24</v>
      </c>
      <c r="CB146" s="100">
        <v>25</v>
      </c>
      <c r="CC146" s="100">
        <v>26</v>
      </c>
      <c r="CD146" s="100">
        <v>27</v>
      </c>
      <c r="CE146" s="100">
        <v>28</v>
      </c>
      <c r="CF146" s="100">
        <v>29</v>
      </c>
      <c r="CG146" s="100">
        <v>30</v>
      </c>
      <c r="CH146" s="101"/>
    </row>
    <row r="147" spans="53:94" ht="15" hidden="1" customHeight="1">
      <c r="BA147" s="88"/>
      <c r="BB147" s="298" t="str">
        <f>IF($BB$131="","",$BB$131)</f>
        <v>G Almeida/H Aston (Norte)</v>
      </c>
      <c r="BC147" s="299"/>
      <c r="BD147" s="74"/>
      <c r="BE147" s="75"/>
      <c r="BF147" s="75"/>
      <c r="BG147" s="75"/>
      <c r="BH147" s="75"/>
      <c r="BI147" s="75"/>
      <c r="BJ147" s="75"/>
      <c r="BK147" s="75"/>
      <c r="BL147" s="75"/>
      <c r="BM147" s="76"/>
      <c r="BN147" s="254"/>
      <c r="BO147" s="256"/>
      <c r="BP147" s="77"/>
      <c r="BQ147" s="77"/>
      <c r="BR147" s="77"/>
      <c r="BS147" s="78"/>
      <c r="BT147" s="75"/>
      <c r="BU147" s="75"/>
      <c r="BV147" s="75"/>
      <c r="BW147" s="75"/>
      <c r="BX147" s="254"/>
      <c r="BY147" s="76"/>
      <c r="BZ147" s="75"/>
      <c r="CA147" s="75"/>
      <c r="CB147" s="75"/>
      <c r="CC147" s="75"/>
      <c r="CD147" s="75"/>
      <c r="CE147" s="75"/>
      <c r="CF147" s="75"/>
      <c r="CG147" s="75"/>
      <c r="CH147" s="92"/>
    </row>
    <row r="148" spans="53:94" ht="15" hidden="1" customHeight="1">
      <c r="BA148" s="88"/>
      <c r="BB148" s="300"/>
      <c r="BC148" s="301"/>
      <c r="BD148" s="79"/>
      <c r="BE148" s="80"/>
      <c r="BF148" s="80"/>
      <c r="BG148" s="80"/>
      <c r="BH148" s="80"/>
      <c r="BI148" s="80"/>
      <c r="BJ148" s="80"/>
      <c r="BK148" s="80"/>
      <c r="BL148" s="80"/>
      <c r="BM148" s="81"/>
      <c r="BN148" s="255"/>
      <c r="BO148" s="257"/>
      <c r="BP148" s="82"/>
      <c r="BQ148" s="82"/>
      <c r="BR148" s="82"/>
      <c r="BS148" s="83"/>
      <c r="BT148" s="80"/>
      <c r="BU148" s="80"/>
      <c r="BV148" s="80"/>
      <c r="BW148" s="80"/>
      <c r="BX148" s="255"/>
      <c r="BY148" s="81"/>
      <c r="BZ148" s="80"/>
      <c r="CA148" s="80"/>
      <c r="CB148" s="80"/>
      <c r="CC148" s="80"/>
      <c r="CD148" s="80"/>
      <c r="CE148" s="80"/>
      <c r="CF148" s="80"/>
      <c r="CG148" s="80"/>
      <c r="CH148" s="92"/>
    </row>
    <row r="149" spans="53:94" ht="15" hidden="1" customHeight="1">
      <c r="BA149" s="88"/>
      <c r="BB149" s="298" t="str">
        <f>IF($BB$133="","",$BB$133)</f>
        <v/>
      </c>
      <c r="BC149" s="299"/>
      <c r="BD149" s="74"/>
      <c r="BE149" s="75"/>
      <c r="BF149" s="75"/>
      <c r="BG149" s="75"/>
      <c r="BH149" s="75"/>
      <c r="BI149" s="75"/>
      <c r="BJ149" s="75"/>
      <c r="BK149" s="75"/>
      <c r="BL149" s="75"/>
      <c r="BM149" s="76"/>
      <c r="BN149" s="254"/>
      <c r="BO149" s="256"/>
      <c r="BP149" s="77"/>
      <c r="BQ149" s="77"/>
      <c r="BR149" s="77"/>
      <c r="BS149" s="78"/>
      <c r="BT149" s="75"/>
      <c r="BU149" s="75"/>
      <c r="BV149" s="75"/>
      <c r="BW149" s="75"/>
      <c r="BX149" s="254"/>
      <c r="BY149" s="76"/>
      <c r="BZ149" s="75"/>
      <c r="CA149" s="75"/>
      <c r="CB149" s="75"/>
      <c r="CC149" s="75"/>
      <c r="CD149" s="75"/>
      <c r="CE149" s="75"/>
      <c r="CF149" s="75"/>
      <c r="CG149" s="75"/>
      <c r="CH149" s="98" t="s">
        <v>3</v>
      </c>
    </row>
    <row r="150" spans="53:94" ht="15" hidden="1" customHeight="1">
      <c r="BA150" s="88"/>
      <c r="BB150" s="300"/>
      <c r="BC150" s="301"/>
      <c r="BD150" s="79"/>
      <c r="BE150" s="80"/>
      <c r="BF150" s="80"/>
      <c r="BG150" s="80"/>
      <c r="BH150" s="80"/>
      <c r="BI150" s="80"/>
      <c r="BJ150" s="80"/>
      <c r="BK150" s="80"/>
      <c r="BL150" s="80"/>
      <c r="BM150" s="81"/>
      <c r="BN150" s="255"/>
      <c r="BO150" s="257"/>
      <c r="BP150" s="82"/>
      <c r="BQ150" s="82"/>
      <c r="BR150" s="82"/>
      <c r="BS150" s="83"/>
      <c r="BT150" s="80"/>
      <c r="BU150" s="80"/>
      <c r="BV150" s="80"/>
      <c r="BW150" s="80"/>
      <c r="BX150" s="255"/>
      <c r="BY150" s="81"/>
      <c r="BZ150" s="80"/>
      <c r="CA150" s="80"/>
      <c r="CB150" s="80"/>
      <c r="CC150" s="80"/>
      <c r="CD150" s="80"/>
      <c r="CE150" s="80"/>
      <c r="CF150" s="80"/>
      <c r="CG150" s="80"/>
      <c r="CH150" s="92"/>
    </row>
    <row r="151" spans="53:94" ht="65.25" hidden="1" customHeight="1">
      <c r="BA151" s="102"/>
      <c r="BB151" s="103" t="s">
        <v>36</v>
      </c>
      <c r="BC151" s="104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1"/>
    </row>
    <row r="152" spans="53:94" ht="26.25" hidden="1" customHeight="1">
      <c r="BA152" s="296"/>
      <c r="BB152" s="296"/>
      <c r="BC152" s="296"/>
      <c r="BD152" s="296"/>
      <c r="BE152" s="296"/>
      <c r="BF152" s="296"/>
      <c r="BG152" s="296"/>
      <c r="BH152" s="296"/>
      <c r="BI152" s="296"/>
      <c r="BJ152" s="296"/>
      <c r="BK152" s="296"/>
      <c r="BL152" s="296"/>
      <c r="BM152" s="296"/>
      <c r="BN152" s="296"/>
      <c r="BO152" s="296"/>
      <c r="BP152" s="296"/>
      <c r="BQ152" s="296"/>
      <c r="BR152" s="296"/>
      <c r="BS152" s="296"/>
      <c r="BT152" s="296"/>
      <c r="BU152" s="296"/>
      <c r="BV152" s="296"/>
      <c r="BW152" s="296"/>
      <c r="BX152" s="296"/>
      <c r="BY152" s="296"/>
      <c r="BZ152" s="296"/>
      <c r="CA152" s="296"/>
      <c r="CB152" s="296"/>
      <c r="CC152" s="296"/>
      <c r="CD152" s="296"/>
      <c r="CE152" s="296"/>
      <c r="CF152" s="296"/>
      <c r="CG152" s="296"/>
      <c r="CH152" s="296"/>
    </row>
    <row r="153" spans="53:94" ht="22.5" hidden="1" customHeight="1"/>
    <row r="154" spans="53:94" ht="22.5" hidden="1" customHeight="1"/>
    <row r="155" spans="53:94" ht="22.5" hidden="1" customHeight="1"/>
  </sheetData>
  <sheetProtection password="E82C" sheet="1" objects="1" scenarios="1" formatCells="0" formatColumns="0" formatRows="0" autoFilter="0"/>
  <autoFilter ref="AN6:AZ54">
    <filterColumn colId="2" showButton="0"/>
    <filterColumn colId="3" showButton="0"/>
    <filterColumn colId="4" showButton="0"/>
  </autoFilter>
  <mergeCells count="326">
    <mergeCell ref="BA152:CH152"/>
    <mergeCell ref="BB137:BC138"/>
    <mergeCell ref="BB139:BC140"/>
    <mergeCell ref="BB142:BC143"/>
    <mergeCell ref="BB144:BC145"/>
    <mergeCell ref="BB147:BC148"/>
    <mergeCell ref="BB149:BC150"/>
    <mergeCell ref="BB133:BC134"/>
    <mergeCell ref="BD133:BF134"/>
    <mergeCell ref="BG133:BI134"/>
    <mergeCell ref="BJ133:BL134"/>
    <mergeCell ref="BO133:BQ134"/>
    <mergeCell ref="BC135:BL135"/>
    <mergeCell ref="BM135:BQ135"/>
    <mergeCell ref="BA126:CH126"/>
    <mergeCell ref="BB127:BN127"/>
    <mergeCell ref="BB130:BC130"/>
    <mergeCell ref="BB131:BC132"/>
    <mergeCell ref="BD131:BF132"/>
    <mergeCell ref="BG131:BI132"/>
    <mergeCell ref="BJ131:BL132"/>
    <mergeCell ref="BO131:BQ132"/>
    <mergeCell ref="BB111:BC112"/>
    <mergeCell ref="BB113:BC114"/>
    <mergeCell ref="BB116:BC117"/>
    <mergeCell ref="BB118:BC119"/>
    <mergeCell ref="BB121:BC122"/>
    <mergeCell ref="BB123:BC124"/>
    <mergeCell ref="BB107:BC108"/>
    <mergeCell ref="BD107:BF108"/>
    <mergeCell ref="BG107:BI108"/>
    <mergeCell ref="BJ107:BL108"/>
    <mergeCell ref="BO107:BQ108"/>
    <mergeCell ref="BC109:BL109"/>
    <mergeCell ref="BM109:BQ109"/>
    <mergeCell ref="BB104:BC104"/>
    <mergeCell ref="BB105:BC106"/>
    <mergeCell ref="BD105:BF106"/>
    <mergeCell ref="BG105:BI106"/>
    <mergeCell ref="BJ105:BL106"/>
    <mergeCell ref="BO105:BQ106"/>
    <mergeCell ref="I94:K94"/>
    <mergeCell ref="P94:R94"/>
    <mergeCell ref="P96:S96"/>
    <mergeCell ref="I98:K98"/>
    <mergeCell ref="BA100:CH100"/>
    <mergeCell ref="BB101:BN101"/>
    <mergeCell ref="I90:K90"/>
    <mergeCell ref="P90:R90"/>
    <mergeCell ref="AP90:AS90"/>
    <mergeCell ref="P92:U92"/>
    <mergeCell ref="X92:AC92"/>
    <mergeCell ref="Y93:AC93"/>
    <mergeCell ref="Y87:AC87"/>
    <mergeCell ref="AP87:AS87"/>
    <mergeCell ref="P88:S88"/>
    <mergeCell ref="Y88:AC88"/>
    <mergeCell ref="AP88:AS88"/>
    <mergeCell ref="Y89:AC89"/>
    <mergeCell ref="AP89:AS89"/>
    <mergeCell ref="I84:W85"/>
    <mergeCell ref="Y84:AD85"/>
    <mergeCell ref="AP84:AS84"/>
    <mergeCell ref="AP85:AS85"/>
    <mergeCell ref="I86:K86"/>
    <mergeCell ref="Y86:AC86"/>
    <mergeCell ref="AP86:AS86"/>
    <mergeCell ref="Y75:AC75"/>
    <mergeCell ref="I76:K76"/>
    <mergeCell ref="P76:R76"/>
    <mergeCell ref="P78:S78"/>
    <mergeCell ref="I80:K80"/>
    <mergeCell ref="AP83:AS83"/>
    <mergeCell ref="Y71:AC71"/>
    <mergeCell ref="AP71:AS71"/>
    <mergeCell ref="I72:K72"/>
    <mergeCell ref="P72:R72"/>
    <mergeCell ref="AP72:AS72"/>
    <mergeCell ref="P74:U74"/>
    <mergeCell ref="X74:AC74"/>
    <mergeCell ref="I68:K68"/>
    <mergeCell ref="Y68:AC68"/>
    <mergeCell ref="AP68:AS68"/>
    <mergeCell ref="Y69:AC69"/>
    <mergeCell ref="AP69:AS69"/>
    <mergeCell ref="P70:S70"/>
    <mergeCell ref="Y70:AC70"/>
    <mergeCell ref="AP70:AS70"/>
    <mergeCell ref="I62:K62"/>
    <mergeCell ref="AP65:AS65"/>
    <mergeCell ref="I66:W67"/>
    <mergeCell ref="Y66:AD67"/>
    <mergeCell ref="AP66:AS66"/>
    <mergeCell ref="AP67:AS67"/>
    <mergeCell ref="P56:U56"/>
    <mergeCell ref="X56:AC56"/>
    <mergeCell ref="Y57:AC57"/>
    <mergeCell ref="I58:K58"/>
    <mergeCell ref="P58:R58"/>
    <mergeCell ref="P60:S60"/>
    <mergeCell ref="P52:S52"/>
    <mergeCell ref="Y52:AC52"/>
    <mergeCell ref="AP52:AS52"/>
    <mergeCell ref="Y53:AC53"/>
    <mergeCell ref="AP53:AS53"/>
    <mergeCell ref="I54:K54"/>
    <mergeCell ref="P54:R54"/>
    <mergeCell ref="AP54:AS54"/>
    <mergeCell ref="B49:D49"/>
    <mergeCell ref="AP49:AS49"/>
    <mergeCell ref="I50:K50"/>
    <mergeCell ref="Y50:AC50"/>
    <mergeCell ref="AP50:AS50"/>
    <mergeCell ref="Y51:AC51"/>
    <mergeCell ref="AP51:AS51"/>
    <mergeCell ref="AP45:AS45"/>
    <mergeCell ref="AP46:AS46"/>
    <mergeCell ref="AP47:AS47"/>
    <mergeCell ref="I48:W49"/>
    <mergeCell ref="Y48:AD49"/>
    <mergeCell ref="AP48:AS48"/>
    <mergeCell ref="C42:D42"/>
    <mergeCell ref="AP42:AS42"/>
    <mergeCell ref="I43:K43"/>
    <mergeCell ref="AP43:AS43"/>
    <mergeCell ref="C44:D44"/>
    <mergeCell ref="AP44:AS44"/>
    <mergeCell ref="I39:K39"/>
    <mergeCell ref="P39:R39"/>
    <mergeCell ref="AP39:AS39"/>
    <mergeCell ref="C40:D40"/>
    <mergeCell ref="AP40:AS40"/>
    <mergeCell ref="P41:S41"/>
    <mergeCell ref="AP41:AS41"/>
    <mergeCell ref="C36:D36"/>
    <mergeCell ref="AP36:AS36"/>
    <mergeCell ref="P37:U37"/>
    <mergeCell ref="X37:AC37"/>
    <mergeCell ref="AP37:AS37"/>
    <mergeCell ref="C38:D38"/>
    <mergeCell ref="Y38:AC38"/>
    <mergeCell ref="AP38:AS38"/>
    <mergeCell ref="C34:D34"/>
    <mergeCell ref="Y34:AC34"/>
    <mergeCell ref="AP34:AS34"/>
    <mergeCell ref="I35:K35"/>
    <mergeCell ref="P35:R35"/>
    <mergeCell ref="AP35:AS35"/>
    <mergeCell ref="AP31:AS31"/>
    <mergeCell ref="C32:D32"/>
    <mergeCell ref="Y32:AC32"/>
    <mergeCell ref="AP32:AS32"/>
    <mergeCell ref="P33:S33"/>
    <mergeCell ref="Y33:AC33"/>
    <mergeCell ref="AP33:AS33"/>
    <mergeCell ref="AP27:AS27"/>
    <mergeCell ref="C28:P28"/>
    <mergeCell ref="AP28:AS28"/>
    <mergeCell ref="Y29:AD30"/>
    <mergeCell ref="AG29:AJ31"/>
    <mergeCell ref="AP29:AS29"/>
    <mergeCell ref="C30:D30"/>
    <mergeCell ref="AP30:AS30"/>
    <mergeCell ref="I31:K31"/>
    <mergeCell ref="Y31:AC31"/>
    <mergeCell ref="Y26:Z26"/>
    <mergeCell ref="AG26:AH26"/>
    <mergeCell ref="AI26:AJ26"/>
    <mergeCell ref="AP26:AS26"/>
    <mergeCell ref="D27:E27"/>
    <mergeCell ref="K27:L27"/>
    <mergeCell ref="R27:S27"/>
    <mergeCell ref="Y27:Z27"/>
    <mergeCell ref="AG27:AH28"/>
    <mergeCell ref="AI27:AJ28"/>
    <mergeCell ref="C26:C27"/>
    <mergeCell ref="D26:E26"/>
    <mergeCell ref="J26:J27"/>
    <mergeCell ref="K26:L26"/>
    <mergeCell ref="Q26:Q27"/>
    <mergeCell ref="R26:S26"/>
    <mergeCell ref="X24:X25"/>
    <mergeCell ref="Y24:Z24"/>
    <mergeCell ref="AE24:AE27"/>
    <mergeCell ref="AP24:AS24"/>
    <mergeCell ref="D25:E25"/>
    <mergeCell ref="K25:L25"/>
    <mergeCell ref="R25:S25"/>
    <mergeCell ref="Y25:Z25"/>
    <mergeCell ref="AP25:AS25"/>
    <mergeCell ref="X26:X27"/>
    <mergeCell ref="C24:C25"/>
    <mergeCell ref="D24:E24"/>
    <mergeCell ref="J24:J25"/>
    <mergeCell ref="K24:L24"/>
    <mergeCell ref="Q24:Q25"/>
    <mergeCell ref="R24:S24"/>
    <mergeCell ref="X22:X23"/>
    <mergeCell ref="Y22:Z22"/>
    <mergeCell ref="AP22:AS22"/>
    <mergeCell ref="D23:E23"/>
    <mergeCell ref="K23:L23"/>
    <mergeCell ref="R23:S23"/>
    <mergeCell ref="Y23:Z23"/>
    <mergeCell ref="AP23:AS23"/>
    <mergeCell ref="C22:C23"/>
    <mergeCell ref="D22:E22"/>
    <mergeCell ref="J22:J23"/>
    <mergeCell ref="K22:L22"/>
    <mergeCell ref="Q22:Q23"/>
    <mergeCell ref="R22:S22"/>
    <mergeCell ref="X20:X21"/>
    <mergeCell ref="Y20:Z20"/>
    <mergeCell ref="AE20:AE23"/>
    <mergeCell ref="AK20:AL20"/>
    <mergeCell ref="AP20:AS20"/>
    <mergeCell ref="D21:E21"/>
    <mergeCell ref="K21:L21"/>
    <mergeCell ref="R21:S21"/>
    <mergeCell ref="Y21:Z21"/>
    <mergeCell ref="AP21:AS21"/>
    <mergeCell ref="C20:C21"/>
    <mergeCell ref="D20:E20"/>
    <mergeCell ref="J20:J21"/>
    <mergeCell ref="K20:L20"/>
    <mergeCell ref="Q20:Q21"/>
    <mergeCell ref="R20:S20"/>
    <mergeCell ref="Y18:Z18"/>
    <mergeCell ref="AP18:AS18"/>
    <mergeCell ref="D19:E19"/>
    <mergeCell ref="K19:L19"/>
    <mergeCell ref="R19:S19"/>
    <mergeCell ref="Y19:Z19"/>
    <mergeCell ref="AP19:AS19"/>
    <mergeCell ref="C18:C19"/>
    <mergeCell ref="D18:E18"/>
    <mergeCell ref="J18:J19"/>
    <mergeCell ref="K18:L18"/>
    <mergeCell ref="Q18:Q19"/>
    <mergeCell ref="R18:S18"/>
    <mergeCell ref="X16:X17"/>
    <mergeCell ref="Y16:Z16"/>
    <mergeCell ref="AE16:AE19"/>
    <mergeCell ref="AP16:AS16"/>
    <mergeCell ref="D17:E17"/>
    <mergeCell ref="K17:L17"/>
    <mergeCell ref="R17:S17"/>
    <mergeCell ref="Y17:Z17"/>
    <mergeCell ref="AP17:AS17"/>
    <mergeCell ref="X18:X19"/>
    <mergeCell ref="C16:C17"/>
    <mergeCell ref="D16:E16"/>
    <mergeCell ref="J16:J17"/>
    <mergeCell ref="K16:L16"/>
    <mergeCell ref="Q16:Q17"/>
    <mergeCell ref="R16:S16"/>
    <mergeCell ref="D15:H15"/>
    <mergeCell ref="K15:O15"/>
    <mergeCell ref="R15:V15"/>
    <mergeCell ref="Y15:AC15"/>
    <mergeCell ref="AK15:AL15"/>
    <mergeCell ref="AP15:AS15"/>
    <mergeCell ref="D13:H13"/>
    <mergeCell ref="K13:O13"/>
    <mergeCell ref="R13:V13"/>
    <mergeCell ref="Y13:AC13"/>
    <mergeCell ref="AP13:AS13"/>
    <mergeCell ref="D14:H14"/>
    <mergeCell ref="K14:O14"/>
    <mergeCell ref="R14:V14"/>
    <mergeCell ref="Y14:AC14"/>
    <mergeCell ref="AP14:AS14"/>
    <mergeCell ref="C11:I11"/>
    <mergeCell ref="J11:P11"/>
    <mergeCell ref="Q11:W11"/>
    <mergeCell ref="X11:AD11"/>
    <mergeCell ref="AP11:AS11"/>
    <mergeCell ref="D12:H12"/>
    <mergeCell ref="K12:O12"/>
    <mergeCell ref="R12:V12"/>
    <mergeCell ref="Y12:AC12"/>
    <mergeCell ref="AP12:AS12"/>
    <mergeCell ref="D10:F10"/>
    <mergeCell ref="K10:M10"/>
    <mergeCell ref="R10:T10"/>
    <mergeCell ref="Y10:AA10"/>
    <mergeCell ref="AK10:AL10"/>
    <mergeCell ref="AP10:AS10"/>
    <mergeCell ref="AI8:AI9"/>
    <mergeCell ref="AJ8:AJ9"/>
    <mergeCell ref="AP8:AS8"/>
    <mergeCell ref="D9:F9"/>
    <mergeCell ref="K9:M9"/>
    <mergeCell ref="R9:T9"/>
    <mergeCell ref="Y9:AA9"/>
    <mergeCell ref="AP9:AS9"/>
    <mergeCell ref="K7:M7"/>
    <mergeCell ref="R7:T7"/>
    <mergeCell ref="Y7:AA7"/>
    <mergeCell ref="AP7:AS7"/>
    <mergeCell ref="D8:F8"/>
    <mergeCell ref="K8:M8"/>
    <mergeCell ref="R8:T8"/>
    <mergeCell ref="Y8:AA8"/>
    <mergeCell ref="AG8:AG9"/>
    <mergeCell ref="AH8:AH9"/>
    <mergeCell ref="X5:AD5"/>
    <mergeCell ref="AG5:AJ7"/>
    <mergeCell ref="AN5:AS5"/>
    <mergeCell ref="AT5:AZ5"/>
    <mergeCell ref="D6:F6"/>
    <mergeCell ref="K6:M6"/>
    <mergeCell ref="R6:T6"/>
    <mergeCell ref="Y6:AA6"/>
    <mergeCell ref="AP6:AS6"/>
    <mergeCell ref="D7:F7"/>
    <mergeCell ref="C2:F2"/>
    <mergeCell ref="H2:X2"/>
    <mergeCell ref="AN2:AZ4"/>
    <mergeCell ref="BB2:BT11"/>
    <mergeCell ref="C3:F3"/>
    <mergeCell ref="H3:O3"/>
    <mergeCell ref="Q3:X3"/>
    <mergeCell ref="C5:I5"/>
    <mergeCell ref="J5:P5"/>
    <mergeCell ref="Q5:W5"/>
  </mergeCells>
  <printOptions horizontalCentered="1" verticalCentered="1"/>
  <pageMargins left="0.19685039370078741" right="0.19685039370078741" top="0" bottom="0" header="0.15748031496062992" footer="0.15748031496062992"/>
  <pageSetup paperSize="9" scale="8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B1:CP155"/>
  <sheetViews>
    <sheetView showGridLines="0" zoomScale="80" zoomScaleNormal="80" workbookViewId="0">
      <selection activeCell="I8" sqref="I8"/>
    </sheetView>
  </sheetViews>
  <sheetFormatPr defaultRowHeight="12.75"/>
  <cols>
    <col min="1" max="1" width="1.42578125" style="1" customWidth="1"/>
    <col min="2" max="2" width="2.140625" style="1" customWidth="1"/>
    <col min="3" max="3" width="3.28515625" style="34" customWidth="1"/>
    <col min="4" max="4" width="24.140625" style="1" customWidth="1"/>
    <col min="5" max="5" width="2.85546875" style="1" customWidth="1"/>
    <col min="6" max="9" width="3.28515625" style="1" customWidth="1"/>
    <col min="10" max="10" width="3.28515625" style="34" customWidth="1"/>
    <col min="11" max="11" width="24.140625" style="1" customWidth="1"/>
    <col min="12" max="12" width="2.85546875" style="1" customWidth="1"/>
    <col min="13" max="13" width="3.42578125" style="1" customWidth="1"/>
    <col min="14" max="16" width="3.28515625" style="1" customWidth="1"/>
    <col min="17" max="17" width="3.28515625" style="34" customWidth="1"/>
    <col min="18" max="18" width="24.140625" style="1" customWidth="1"/>
    <col min="19" max="19" width="2.85546875" style="1" customWidth="1"/>
    <col min="20" max="23" width="3.28515625" style="1" customWidth="1"/>
    <col min="24" max="24" width="3.28515625" style="34" customWidth="1"/>
    <col min="25" max="25" width="24.140625" style="1" customWidth="1"/>
    <col min="26" max="26" width="1.85546875" style="1" customWidth="1"/>
    <col min="27" max="29" width="3.28515625" style="1" customWidth="1"/>
    <col min="30" max="30" width="4" style="1" customWidth="1"/>
    <col min="31" max="31" width="6.140625" style="1" customWidth="1"/>
    <col min="32" max="32" width="5" style="1" hidden="1" customWidth="1"/>
    <col min="33" max="36" width="5.85546875" style="1" hidden="1" customWidth="1"/>
    <col min="37" max="38" width="6.85546875" style="1" hidden="1" customWidth="1"/>
    <col min="39" max="39" width="6.7109375" style="1" hidden="1" customWidth="1"/>
    <col min="40" max="41" width="9.140625" style="1" hidden="1" customWidth="1"/>
    <col min="42" max="45" width="3.28515625" style="1" hidden="1" customWidth="1"/>
    <col min="46" max="46" width="11" style="1" hidden="1" customWidth="1"/>
    <col min="47" max="48" width="9.140625" style="1" hidden="1" customWidth="1"/>
    <col min="49" max="49" width="14" style="1" hidden="1" customWidth="1"/>
    <col min="50" max="51" width="9.140625" style="1" hidden="1" customWidth="1"/>
    <col min="52" max="52" width="13.85546875" style="1" hidden="1" customWidth="1"/>
    <col min="53" max="53" width="2.85546875" style="1" hidden="1" customWidth="1"/>
    <col min="54" max="54" width="34.7109375" style="1" hidden="1" customWidth="1"/>
    <col min="55" max="55" width="8.140625" style="1" hidden="1" customWidth="1"/>
    <col min="56" max="73" width="3.28515625" style="1" hidden="1" customWidth="1"/>
    <col min="74" max="85" width="3.28515625" style="1" customWidth="1"/>
    <col min="86" max="86" width="2.85546875" style="1" customWidth="1"/>
    <col min="87" max="87" width="9.140625" style="1"/>
    <col min="88" max="88" width="7.5703125" style="1" customWidth="1"/>
    <col min="89" max="91" width="9.140625" style="1"/>
    <col min="92" max="92" width="22" style="1" customWidth="1"/>
    <col min="93" max="94" width="27.28515625" style="1" customWidth="1"/>
    <col min="95" max="16384" width="9.140625" style="1"/>
  </cols>
  <sheetData>
    <row r="1" spans="2:72" ht="9" customHeight="1"/>
    <row r="2" spans="2:72" ht="28.5" customHeight="1">
      <c r="B2" s="125"/>
      <c r="C2" s="443" t="s">
        <v>239</v>
      </c>
      <c r="D2" s="443"/>
      <c r="E2" s="443"/>
      <c r="F2" s="443"/>
      <c r="G2" s="110"/>
      <c r="H2" s="444" t="s">
        <v>241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110"/>
      <c r="Z2" s="110"/>
      <c r="AA2" s="110"/>
      <c r="AB2" s="110"/>
      <c r="AC2" s="110"/>
      <c r="AD2" s="110" t="s">
        <v>18</v>
      </c>
      <c r="AE2" s="3"/>
      <c r="AN2" s="445" t="s">
        <v>61</v>
      </c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</row>
    <row r="3" spans="2:72" ht="20.25" customHeight="1">
      <c r="B3" s="126"/>
      <c r="C3" s="446" t="s">
        <v>240</v>
      </c>
      <c r="D3" s="446"/>
      <c r="E3" s="446"/>
      <c r="F3" s="446"/>
      <c r="G3" s="111"/>
      <c r="H3" s="447" t="s">
        <v>261</v>
      </c>
      <c r="I3" s="447"/>
      <c r="J3" s="447"/>
      <c r="K3" s="447"/>
      <c r="L3" s="447"/>
      <c r="M3" s="447"/>
      <c r="N3" s="447"/>
      <c r="O3" s="447"/>
      <c r="P3" s="112" t="s">
        <v>32</v>
      </c>
      <c r="Q3" s="448" t="s">
        <v>63</v>
      </c>
      <c r="R3" s="448"/>
      <c r="S3" s="448"/>
      <c r="T3" s="448"/>
      <c r="U3" s="448"/>
      <c r="V3" s="448"/>
      <c r="W3" s="448"/>
      <c r="X3" s="448"/>
      <c r="Y3" s="111"/>
      <c r="Z3" s="111"/>
      <c r="AA3" s="111"/>
      <c r="AB3" s="111"/>
      <c r="AC3" s="111"/>
      <c r="AD3" s="111"/>
      <c r="AE3" s="113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</row>
    <row r="4" spans="2:72" ht="13.5" customHeight="1" thickBot="1">
      <c r="B4" s="126"/>
      <c r="C4" s="115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P4" s="114" t="s">
        <v>20</v>
      </c>
      <c r="Q4" s="115"/>
      <c r="R4" s="114"/>
      <c r="S4" s="114"/>
      <c r="T4" s="114"/>
      <c r="U4" s="114"/>
      <c r="V4" s="114"/>
      <c r="W4" s="114" t="s">
        <v>19</v>
      </c>
      <c r="X4" s="115"/>
      <c r="Y4" s="114"/>
      <c r="Z4" s="114"/>
      <c r="AA4" s="114"/>
      <c r="AB4" s="114"/>
      <c r="AC4" s="114"/>
      <c r="AD4" s="114"/>
      <c r="AE4" s="116"/>
      <c r="AF4" s="106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</row>
    <row r="5" spans="2:72" ht="28.5" customHeight="1" thickBot="1">
      <c r="B5" s="126"/>
      <c r="C5" s="449" t="s">
        <v>7</v>
      </c>
      <c r="D5" s="450"/>
      <c r="E5" s="450"/>
      <c r="F5" s="450"/>
      <c r="G5" s="450"/>
      <c r="H5" s="450"/>
      <c r="I5" s="451"/>
      <c r="J5" s="449" t="s">
        <v>8</v>
      </c>
      <c r="K5" s="450"/>
      <c r="L5" s="450"/>
      <c r="M5" s="450"/>
      <c r="N5" s="450"/>
      <c r="O5" s="450"/>
      <c r="P5" s="451"/>
      <c r="Q5" s="449" t="s">
        <v>9</v>
      </c>
      <c r="R5" s="450"/>
      <c r="S5" s="450"/>
      <c r="T5" s="450"/>
      <c r="U5" s="450"/>
      <c r="V5" s="450"/>
      <c r="W5" s="451"/>
      <c r="X5" s="449" t="s">
        <v>10</v>
      </c>
      <c r="Y5" s="450"/>
      <c r="Z5" s="450"/>
      <c r="AA5" s="450"/>
      <c r="AB5" s="450"/>
      <c r="AC5" s="450"/>
      <c r="AD5" s="451"/>
      <c r="AE5" s="117"/>
      <c r="AF5" s="107"/>
      <c r="AG5" s="452" t="s">
        <v>48</v>
      </c>
      <c r="AH5" s="452"/>
      <c r="AI5" s="452"/>
      <c r="AJ5" s="452"/>
      <c r="AN5" s="454" t="s">
        <v>53</v>
      </c>
      <c r="AO5" s="454"/>
      <c r="AP5" s="454"/>
      <c r="AQ5" s="454"/>
      <c r="AR5" s="454"/>
      <c r="AS5" s="455"/>
      <c r="AT5" s="456" t="s">
        <v>52</v>
      </c>
      <c r="AU5" s="457"/>
      <c r="AV5" s="457"/>
      <c r="AW5" s="457"/>
      <c r="AX5" s="457"/>
      <c r="AY5" s="457"/>
      <c r="AZ5" s="458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</row>
    <row r="6" spans="2:72" ht="18" customHeight="1" thickBot="1">
      <c r="B6" s="126"/>
      <c r="C6" s="2"/>
      <c r="D6" s="459" t="s">
        <v>11</v>
      </c>
      <c r="E6" s="459"/>
      <c r="F6" s="459"/>
      <c r="G6" s="3"/>
      <c r="H6" s="4" t="s">
        <v>6</v>
      </c>
      <c r="I6" s="5"/>
      <c r="J6" s="2"/>
      <c r="K6" s="459" t="s">
        <v>11</v>
      </c>
      <c r="L6" s="459"/>
      <c r="M6" s="459"/>
      <c r="N6" s="3"/>
      <c r="O6" s="4" t="s">
        <v>6</v>
      </c>
      <c r="P6" s="5"/>
      <c r="Q6" s="2"/>
      <c r="R6" s="459" t="s">
        <v>11</v>
      </c>
      <c r="S6" s="459"/>
      <c r="T6" s="459"/>
      <c r="U6" s="3"/>
      <c r="V6" s="4" t="s">
        <v>6</v>
      </c>
      <c r="W6" s="5"/>
      <c r="X6" s="2"/>
      <c r="Y6" s="459" t="s">
        <v>11</v>
      </c>
      <c r="Z6" s="459"/>
      <c r="AA6" s="459"/>
      <c r="AB6" s="3"/>
      <c r="AC6" s="4" t="s">
        <v>6</v>
      </c>
      <c r="AD6" s="5"/>
      <c r="AE6" s="117"/>
      <c r="AF6" s="107"/>
      <c r="AG6" s="452"/>
      <c r="AH6" s="452"/>
      <c r="AI6" s="452"/>
      <c r="AJ6" s="452"/>
      <c r="AN6" s="241" t="s">
        <v>51</v>
      </c>
      <c r="AO6" s="242" t="s">
        <v>43</v>
      </c>
      <c r="AP6" s="460" t="s">
        <v>54</v>
      </c>
      <c r="AQ6" s="461"/>
      <c r="AR6" s="461"/>
      <c r="AS6" s="462"/>
      <c r="AT6" s="249" t="s">
        <v>62</v>
      </c>
      <c r="AU6" s="243" t="s">
        <v>55</v>
      </c>
      <c r="AV6" s="244" t="s">
        <v>56</v>
      </c>
      <c r="AW6" s="245" t="s">
        <v>57</v>
      </c>
      <c r="AX6" s="246" t="s">
        <v>58</v>
      </c>
      <c r="AY6" s="247" t="s">
        <v>59</v>
      </c>
      <c r="AZ6" s="248" t="s">
        <v>60</v>
      </c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</row>
    <row r="7" spans="2:72" ht="19.5" customHeight="1" thickBot="1">
      <c r="B7" s="126"/>
      <c r="C7" s="6"/>
      <c r="D7" s="442" t="s">
        <v>271</v>
      </c>
      <c r="E7" s="442"/>
      <c r="F7" s="442"/>
      <c r="G7" s="7" t="s">
        <v>17</v>
      </c>
      <c r="H7" s="8" t="str">
        <f>IF(COUNT(F$16,F$22,F$27)=0,"",SUM(AND(F$16&lt;&gt;"",F$17&lt;&gt;"",F$16&gt;F$17),AND(F$22&lt;&gt;"",F$23&lt;&gt;"",F$22&gt;F$23),AND(F$27&lt;&gt;"",F$26&lt;&gt;"",F$27&gt;F$26)))</f>
        <v/>
      </c>
      <c r="I7" s="9"/>
      <c r="J7" s="6"/>
      <c r="K7" s="442" t="s">
        <v>274</v>
      </c>
      <c r="L7" s="442"/>
      <c r="M7" s="442"/>
      <c r="N7" s="7" t="s">
        <v>17</v>
      </c>
      <c r="O7" s="8" t="str">
        <f>IF(COUNT(M$16,M$22,M$27)=0,"",SUM(AND(M$16&lt;&gt;"",M$17&lt;&gt;"",M$16&gt;M$17),AND(M$22&lt;&gt;"",M$23&lt;&gt;"",M$22&gt;M$23),AND(M$27&lt;&gt;"",M$26&lt;&gt;"",M$27&gt;M$26)))</f>
        <v/>
      </c>
      <c r="P7" s="9"/>
      <c r="Q7" s="6"/>
      <c r="R7" s="442" t="s">
        <v>276</v>
      </c>
      <c r="S7" s="442"/>
      <c r="T7" s="442"/>
      <c r="U7" s="7" t="s">
        <v>17</v>
      </c>
      <c r="V7" s="8" t="str">
        <f>IF(COUNT(T$16,T$22,T$27)=0,"",SUM(AND(T$16&lt;&gt;"",T$17&lt;&gt;"",T$16&gt;T$17),AND(T$22&lt;&gt;"",T$23&lt;&gt;"",T$22&gt;T$23),AND(T$27&lt;&gt;"",T$26&lt;&gt;"",T$27&gt;T$26)))</f>
        <v/>
      </c>
      <c r="W7" s="9"/>
      <c r="X7" s="6"/>
      <c r="Y7" s="442" t="s">
        <v>279</v>
      </c>
      <c r="Z7" s="442"/>
      <c r="AA7" s="442"/>
      <c r="AB7" s="7" t="s">
        <v>17</v>
      </c>
      <c r="AC7" s="8" t="str">
        <f>IF(COUNT(AA$16,AA$22,AA$27)=0,"",SUM(AND(AA$16&lt;&gt;"",AA$17&lt;&gt;"",AA$16&gt;AA$17),AND(AA$22&lt;&gt;"",AA$23&lt;&gt;"",AA$22&gt;AA$23),AND(AA$27&lt;&gt;"",AA$26&lt;&gt;"",AA$27&gt;AA$26)))</f>
        <v/>
      </c>
      <c r="AD7" s="9"/>
      <c r="AE7" s="113"/>
      <c r="AG7" s="453"/>
      <c r="AH7" s="453"/>
      <c r="AI7" s="453"/>
      <c r="AJ7" s="453"/>
      <c r="AN7" s="173">
        <f>IF($C16="","",$C16)</f>
        <v>1</v>
      </c>
      <c r="AO7" s="174" t="str">
        <f>IF($C$5="","",$C$5)</f>
        <v>Grupo A</v>
      </c>
      <c r="AP7" s="376" t="str">
        <f>IF($D$16="","",$D$16)</f>
        <v>M Henriques/M Afonso (Lisboa)</v>
      </c>
      <c r="AQ7" s="377" t="str">
        <f t="shared" ref="AQ7:AS22" si="0">IF($C$5="","",$C$5)</f>
        <v>Grupo A</v>
      </c>
      <c r="AR7" s="377" t="str">
        <f t="shared" si="0"/>
        <v>Grupo A</v>
      </c>
      <c r="AS7" s="378" t="str">
        <f t="shared" si="0"/>
        <v>Grupo A</v>
      </c>
      <c r="AT7" s="176" t="str">
        <f>IF(COUNT($F$16:$F$17)&lt;2,"",IF($F$16&gt;$F$17,"V",IF($F$16&lt;$F$17,"D","Empate??")))</f>
        <v/>
      </c>
      <c r="AU7" s="177" t="str">
        <f>IF(COUNT($F$16:$F$17)&lt;2,"",$F$16)</f>
        <v/>
      </c>
      <c r="AV7" s="178" t="str">
        <f>IF(COUNT($F$16:$F$17)&lt;2,"",$F$17)</f>
        <v/>
      </c>
      <c r="AW7" s="179" t="str">
        <f>IF(COUNT($AU$7:$AV$7)=0,"",$AU$7-$AV$7)</f>
        <v/>
      </c>
      <c r="AX7" s="178" t="str">
        <f>IF(COUNT($F$16:$F$17)&lt;2,"",SUM($G$16:$I$16))</f>
        <v/>
      </c>
      <c r="AY7" s="180" t="str">
        <f>IF(COUNT($F$16:$F$17)&lt;2,"",SUM($G$17:$I$17))</f>
        <v/>
      </c>
      <c r="AZ7" s="181" t="str">
        <f>IF(COUNT($AX7:$AY7)=0,"",$AX7-$AY7)</f>
        <v/>
      </c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</row>
    <row r="8" spans="2:72" ht="19.5" customHeight="1">
      <c r="B8" s="126"/>
      <c r="C8" s="6"/>
      <c r="D8" s="442" t="s">
        <v>272</v>
      </c>
      <c r="E8" s="442"/>
      <c r="F8" s="442"/>
      <c r="G8" s="10" t="s">
        <v>17</v>
      </c>
      <c r="H8" s="8" t="str">
        <f>IF(COUNT(F$18,F$23,F$24)=0,"",SUM(AND(F$18&lt;&gt;"",F$19&lt;&gt;"",F$18&gt;F$19),AND(F$22&lt;&gt;"",F$23&lt;&gt;"",F$23&gt;F$22),AND(F$24&lt;&gt;"",F$25&lt;&gt;"",F$24&gt;F$25)))</f>
        <v/>
      </c>
      <c r="I8" s="9"/>
      <c r="J8" s="6"/>
      <c r="K8" s="442" t="s">
        <v>296</v>
      </c>
      <c r="L8" s="442"/>
      <c r="M8" s="442"/>
      <c r="N8" s="10" t="s">
        <v>17</v>
      </c>
      <c r="O8" s="8" t="str">
        <f>IF(COUNT(M$18,M$23,M$24)=0,"",SUM(AND(M$18&lt;&gt;"",M$19&lt;&gt;"",M$18&gt;M$19),AND(M$22&lt;&gt;"",M$23&lt;&gt;"",M$23&gt;M$22),AND(M$24&lt;&gt;"",M$25&lt;&gt;"",M$24&gt;M$25)))</f>
        <v/>
      </c>
      <c r="P8" s="9"/>
      <c r="Q8" s="6"/>
      <c r="R8" s="442" t="s">
        <v>277</v>
      </c>
      <c r="S8" s="442"/>
      <c r="T8" s="442"/>
      <c r="U8" s="10" t="s">
        <v>17</v>
      </c>
      <c r="V8" s="8" t="str">
        <f>IF(COUNT(T$18,T$23,T$24)=0,"",SUM(AND(T$18&lt;&gt;"",T$19&lt;&gt;"",T$18&gt;T$19),AND(T$22&lt;&gt;"",T$23&lt;&gt;"",T$23&gt;T$22),AND(T$24&lt;&gt;"",T$25&lt;&gt;"",T$24&gt;T$25)))</f>
        <v/>
      </c>
      <c r="W8" s="9"/>
      <c r="X8" s="6"/>
      <c r="Y8" s="442" t="s">
        <v>280</v>
      </c>
      <c r="Z8" s="442"/>
      <c r="AA8" s="442"/>
      <c r="AB8" s="10" t="s">
        <v>17</v>
      </c>
      <c r="AC8" s="8" t="str">
        <f>IF(COUNT(AA$18,AA$23,AA$24)=0,"",SUM(AND(AA$18&lt;&gt;"",AA$19&lt;&gt;"",AA$18&gt;AA$19),AND(AA$22&lt;&gt;"",AA$23&lt;&gt;"",AA$23&gt;AA$22),AND(AA$24&lt;&gt;"",AA$25&lt;&gt;"",AA$24&gt;AA$25)))</f>
        <v/>
      </c>
      <c r="AD8" s="9"/>
      <c r="AE8" s="113"/>
      <c r="AG8" s="438" t="s">
        <v>41</v>
      </c>
      <c r="AH8" s="440" t="s">
        <v>42</v>
      </c>
      <c r="AI8" s="438" t="s">
        <v>41</v>
      </c>
      <c r="AJ8" s="440" t="s">
        <v>42</v>
      </c>
      <c r="AN8" s="182">
        <f>IF($C16="","",$C16)</f>
        <v>1</v>
      </c>
      <c r="AO8" s="171" t="str">
        <f t="shared" ref="AO8:AO18" si="1">IF($C$5="","",$C$5)</f>
        <v>Grupo A</v>
      </c>
      <c r="AP8" s="367" t="str">
        <f>IF($D$17="","",$D$17)</f>
        <v/>
      </c>
      <c r="AQ8" s="368" t="str">
        <f t="shared" si="0"/>
        <v>Grupo A</v>
      </c>
      <c r="AR8" s="368" t="str">
        <f t="shared" si="0"/>
        <v>Grupo A</v>
      </c>
      <c r="AS8" s="369" t="str">
        <f t="shared" si="0"/>
        <v>Grupo A</v>
      </c>
      <c r="AT8" s="183" t="str">
        <f>IF(COUNT($F$16:$F$17)&lt;2,"",IF($F$16&lt;$F$17,"V",IF($F$16&gt;$F$17,"D","Empate??")))</f>
        <v/>
      </c>
      <c r="AU8" s="184" t="str">
        <f>IF(COUNT($F$16:$F$17)&lt;2,"",$F$17)</f>
        <v/>
      </c>
      <c r="AV8" s="185" t="str">
        <f>IF(COUNT($F$16:$F$17)&lt;2,"",$F$16)</f>
        <v/>
      </c>
      <c r="AW8" s="186" t="str">
        <f>IF(COUNT($AU8:$AV8)=0,"",$AU8-$AV8)</f>
        <v/>
      </c>
      <c r="AX8" s="185" t="str">
        <f>IF(COUNT($F$16:$F$17)&lt;2,"",SUM($G$17:$I$17))</f>
        <v/>
      </c>
      <c r="AY8" s="187" t="str">
        <f>IF(COUNT($F$16:$F$17)&lt;2,"",SUM($G$16:$I$16))</f>
        <v/>
      </c>
      <c r="AZ8" s="188" t="str">
        <f t="shared" ref="AZ8:AZ54" si="2">IF(COUNT($AX8:$AY8)=0,"",$AX8-$AY8)</f>
        <v/>
      </c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</row>
    <row r="9" spans="2:72" ht="19.5" customHeight="1" thickBot="1">
      <c r="B9" s="126"/>
      <c r="C9" s="6"/>
      <c r="D9" s="442" t="s">
        <v>273</v>
      </c>
      <c r="E9" s="442"/>
      <c r="F9" s="442"/>
      <c r="G9" s="10" t="s">
        <v>17</v>
      </c>
      <c r="H9" s="8" t="str">
        <f>IF(COUNT(F$19,F$21,F$26)=0,"",SUM(AND(F$18&lt;&gt;"",F$19&lt;&gt;"",F$19&gt;F$18),AND(F$20&lt;&gt;"",F$21&lt;&gt;"",F$21&gt;F$20),AND(F$26&lt;&gt;"",F$27&lt;&gt;"",F$26&gt;F$27)))</f>
        <v/>
      </c>
      <c r="I9" s="9"/>
      <c r="J9" s="6"/>
      <c r="K9" s="442" t="s">
        <v>275</v>
      </c>
      <c r="L9" s="442"/>
      <c r="M9" s="442"/>
      <c r="N9" s="10" t="s">
        <v>17</v>
      </c>
      <c r="O9" s="8" t="str">
        <f>IF(COUNT(M$19,M$21,M$26)=0,"",SUM(AND(M$18&lt;&gt;"",M$19&lt;&gt;"",M$19&gt;M$18),AND(M$20&lt;&gt;"",M$21&lt;&gt;"",M$21&gt;M$20),AND(M$26&lt;&gt;"",M$27&lt;&gt;"",M$26&gt;M$27)))</f>
        <v/>
      </c>
      <c r="P9" s="9"/>
      <c r="Q9" s="6"/>
      <c r="R9" s="442" t="s">
        <v>278</v>
      </c>
      <c r="S9" s="442"/>
      <c r="T9" s="442"/>
      <c r="U9" s="10" t="s">
        <v>17</v>
      </c>
      <c r="V9" s="8" t="str">
        <f>IF(COUNT(T$19,T$21,T$26)=0,"",SUM(AND(T$18&lt;&gt;"",T$19&lt;&gt;"",T$19&gt;T$18),AND(T$20&lt;&gt;"",T$21&lt;&gt;"",T$21&gt;T$20),AND(T$26&lt;&gt;"",T$27&lt;&gt;"",T$26&gt;T$27)))</f>
        <v/>
      </c>
      <c r="W9" s="9"/>
      <c r="X9" s="6"/>
      <c r="Y9" s="442"/>
      <c r="Z9" s="442"/>
      <c r="AA9" s="442"/>
      <c r="AB9" s="10" t="s">
        <v>17</v>
      </c>
      <c r="AC9" s="8" t="str">
        <f>IF(COUNT(AA$19,AA$21,AA$26)=0,"",SUM(AND(AA$18&lt;&gt;"",AA$19&lt;&gt;"",AA$19&gt;AA$18),AND(AA$20&lt;&gt;"",AA$21&lt;&gt;"",AA$21&gt;AA$20),AND(AA$26&lt;&gt;"",AA$27&lt;&gt;"",AA$26&gt;AA$27)))</f>
        <v/>
      </c>
      <c r="AD9" s="9"/>
      <c r="AE9" s="113"/>
      <c r="AG9" s="439"/>
      <c r="AH9" s="441"/>
      <c r="AI9" s="439"/>
      <c r="AJ9" s="441"/>
      <c r="AN9" s="189">
        <f>IF($C18="","",$C18)</f>
        <v>2</v>
      </c>
      <c r="AO9" s="172" t="str">
        <f t="shared" si="1"/>
        <v>Grupo A</v>
      </c>
      <c r="AP9" s="364" t="str">
        <f>IF($D$18="","",$D$18)</f>
        <v>A Costa/M Gomes (Centro)</v>
      </c>
      <c r="AQ9" s="365" t="str">
        <f t="shared" si="0"/>
        <v>Grupo A</v>
      </c>
      <c r="AR9" s="365" t="str">
        <f t="shared" si="0"/>
        <v>Grupo A</v>
      </c>
      <c r="AS9" s="366" t="str">
        <f t="shared" si="0"/>
        <v>Grupo A</v>
      </c>
      <c r="AT9" s="190" t="str">
        <f>IF(COUNT($F$18:$F$19)&lt;2,"",IF($F$18&gt;$F$19,"V",IF($F$18&lt;$F$19,"D","Empate??")))</f>
        <v/>
      </c>
      <c r="AU9" s="191" t="str">
        <f>IF(COUNT($F$18:$F$19)&lt;2,"",$F$18)</f>
        <v/>
      </c>
      <c r="AV9" s="192" t="str">
        <f>IF(COUNT($F$18:$F$19)&lt;2,"",$F$19)</f>
        <v/>
      </c>
      <c r="AW9" s="193" t="str">
        <f t="shared" ref="AW9:AW54" si="3">IF(COUNT($AU9:$AV9)=0,"",$AU9-$AV9)</f>
        <v/>
      </c>
      <c r="AX9" s="192" t="str">
        <f>IF(COUNT($F$18:$F$19)&lt;2,"",SUM($G$18:$I$18))</f>
        <v/>
      </c>
      <c r="AY9" s="194" t="str">
        <f>IF(COUNT($F$18:$F$19)&lt;2,"",SUM($G$19:$I$19))</f>
        <v/>
      </c>
      <c r="AZ9" s="195" t="str">
        <f t="shared" si="2"/>
        <v/>
      </c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</row>
    <row r="10" spans="2:72" ht="19.5" customHeight="1" thickBot="1">
      <c r="B10" s="126"/>
      <c r="C10" s="6"/>
      <c r="D10" s="442"/>
      <c r="E10" s="442"/>
      <c r="F10" s="442"/>
      <c r="G10" s="10" t="s">
        <v>17</v>
      </c>
      <c r="H10" s="11" t="str">
        <f>IF(COUNT(F$17,F$20,F$25)=0,"",SUM(AND(F$16&lt;&gt;"",F$17&lt;&gt;"",F$17&gt;F$16),AND(F$20&lt;&gt;"",F$21&lt;&gt;"",F$20&gt;F$21),AND(F$24&lt;&gt;"",F$25&lt;&gt;"",F$25&gt;F$24)))</f>
        <v/>
      </c>
      <c r="I10" s="12"/>
      <c r="J10" s="6"/>
      <c r="K10" s="442"/>
      <c r="L10" s="442"/>
      <c r="M10" s="442"/>
      <c r="N10" s="10" t="s">
        <v>17</v>
      </c>
      <c r="O10" s="11" t="str">
        <f>IF(COUNT(M$17,M$20,M$25)=0,"",SUM(AND(M$16&lt;&gt;"",M$17&lt;&gt;"",M$17&gt;M$16),AND(M$20&lt;&gt;"",M$21&lt;&gt;"",M$20&gt;M$21),AND(M$24&lt;&gt;"",M$25&lt;&gt;"",M$25&gt;M$24)))</f>
        <v/>
      </c>
      <c r="P10" s="12"/>
      <c r="Q10" s="6"/>
      <c r="R10" s="442"/>
      <c r="S10" s="442"/>
      <c r="T10" s="442"/>
      <c r="U10" s="10" t="s">
        <v>17</v>
      </c>
      <c r="V10" s="11" t="str">
        <f>IF(COUNT(T$17,T$20,T$25)=0,"",SUM(AND(T$16&lt;&gt;"",T$17&lt;&gt;"",T$17&gt;T$16),AND(T$20&lt;&gt;"",T$21&lt;&gt;"",T$20&gt;T$21),AND(T$24&lt;&gt;"",T$25&lt;&gt;"",T$25&gt;T$24)))</f>
        <v/>
      </c>
      <c r="W10" s="12"/>
      <c r="X10" s="6"/>
      <c r="Y10" s="442"/>
      <c r="Z10" s="442"/>
      <c r="AA10" s="442"/>
      <c r="AB10" s="10" t="s">
        <v>17</v>
      </c>
      <c r="AC10" s="11" t="str">
        <f>IF(COUNT(AA$17,AA$20,AA$25)=0,"",SUM(AND(AA$16&lt;&gt;"",AA$17&lt;&gt;"",AA$17&gt;AA$16),AND(AA$20&lt;&gt;"",AA$21&lt;&gt;"",AA$20&gt;AA$21),AND(AA$24&lt;&gt;"",AA$25&lt;&gt;"",AA$25&gt;AA$24)))</f>
        <v/>
      </c>
      <c r="AD10" s="12"/>
      <c r="AE10" s="113"/>
      <c r="AG10" s="159">
        <f>$C$16</f>
        <v>1</v>
      </c>
      <c r="AH10" s="160"/>
      <c r="AI10" s="159">
        <f>$C$24</f>
        <v>17</v>
      </c>
      <c r="AJ10" s="160"/>
      <c r="AK10" s="431" t="s">
        <v>50</v>
      </c>
      <c r="AL10" s="432"/>
      <c r="AN10" s="182">
        <f>IF($C18="","",$C18)</f>
        <v>2</v>
      </c>
      <c r="AO10" s="171" t="str">
        <f t="shared" si="1"/>
        <v>Grupo A</v>
      </c>
      <c r="AP10" s="367" t="str">
        <f>IF($D$19="","",$D$19)</f>
        <v>A Pereira/B Pereira (Norte)</v>
      </c>
      <c r="AQ10" s="368" t="str">
        <f t="shared" si="0"/>
        <v>Grupo A</v>
      </c>
      <c r="AR10" s="368" t="str">
        <f t="shared" si="0"/>
        <v>Grupo A</v>
      </c>
      <c r="AS10" s="369" t="str">
        <f t="shared" si="0"/>
        <v>Grupo A</v>
      </c>
      <c r="AT10" s="183" t="str">
        <f>IF(COUNT($F$18:$F$19)&lt;2,"",IF($F$18&lt;$F$19,"V",IF($F$18&gt;$F$19,"D","Empate??")))</f>
        <v/>
      </c>
      <c r="AU10" s="184" t="str">
        <f>IF(COUNT($F$18:$F$19)&lt;2,"",$F$19)</f>
        <v/>
      </c>
      <c r="AV10" s="185" t="str">
        <f>IF(COUNT($F$18:$F$19)&lt;2,"",$F$18)</f>
        <v/>
      </c>
      <c r="AW10" s="186" t="str">
        <f t="shared" si="3"/>
        <v/>
      </c>
      <c r="AX10" s="185" t="str">
        <f>IF(COUNT($F$18:$F$19)&lt;2,"",SUM($G$19:$I$19))</f>
        <v/>
      </c>
      <c r="AY10" s="187" t="str">
        <f>IF(COUNT($F$18:$F$19)&lt;2,"",SUM($G$18:$I$18))</f>
        <v/>
      </c>
      <c r="AZ10" s="188" t="str">
        <f t="shared" si="2"/>
        <v/>
      </c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</row>
    <row r="11" spans="2:72" ht="17.25" customHeight="1">
      <c r="B11" s="126"/>
      <c r="C11" s="435" t="s">
        <v>16</v>
      </c>
      <c r="D11" s="436"/>
      <c r="E11" s="436"/>
      <c r="F11" s="436"/>
      <c r="G11" s="436"/>
      <c r="H11" s="436"/>
      <c r="I11" s="437"/>
      <c r="J11" s="435" t="s">
        <v>16</v>
      </c>
      <c r="K11" s="436"/>
      <c r="L11" s="436"/>
      <c r="M11" s="436"/>
      <c r="N11" s="436"/>
      <c r="O11" s="436"/>
      <c r="P11" s="437"/>
      <c r="Q11" s="435" t="s">
        <v>16</v>
      </c>
      <c r="R11" s="436"/>
      <c r="S11" s="436"/>
      <c r="T11" s="436"/>
      <c r="U11" s="436"/>
      <c r="V11" s="436"/>
      <c r="W11" s="437"/>
      <c r="X11" s="435" t="s">
        <v>16</v>
      </c>
      <c r="Y11" s="436"/>
      <c r="Z11" s="436"/>
      <c r="AA11" s="436"/>
      <c r="AB11" s="436"/>
      <c r="AC11" s="436"/>
      <c r="AD11" s="437"/>
      <c r="AE11" s="113"/>
      <c r="AG11" s="109">
        <f>$C$18</f>
        <v>2</v>
      </c>
      <c r="AH11" s="161"/>
      <c r="AI11" s="109">
        <f>$C$26</f>
        <v>18</v>
      </c>
      <c r="AJ11" s="161"/>
      <c r="AK11" s="159">
        <f>$O$52</f>
        <v>33</v>
      </c>
      <c r="AL11" s="160"/>
      <c r="AN11" s="189">
        <f>IF($C20="","",$C20)</f>
        <v>9</v>
      </c>
      <c r="AO11" s="172" t="str">
        <f t="shared" si="1"/>
        <v>Grupo A</v>
      </c>
      <c r="AP11" s="364" t="str">
        <f>IF($D$20="","",$D$20)</f>
        <v/>
      </c>
      <c r="AQ11" s="365" t="str">
        <f t="shared" si="0"/>
        <v>Grupo A</v>
      </c>
      <c r="AR11" s="365" t="str">
        <f t="shared" si="0"/>
        <v>Grupo A</v>
      </c>
      <c r="AS11" s="366" t="str">
        <f t="shared" si="0"/>
        <v>Grupo A</v>
      </c>
      <c r="AT11" s="190" t="str">
        <f>IF(COUNT($F$20:$F$21)&lt;2,"",IF($F$20&gt;$F$21,"V",IF($F$20&lt;$F$21,"D","Empate??")))</f>
        <v/>
      </c>
      <c r="AU11" s="191" t="str">
        <f>IF(COUNT($F$20:$F$21)&lt;2,"",$F$20)</f>
        <v/>
      </c>
      <c r="AV11" s="192" t="str">
        <f>IF(COUNT($F$20:$F$21)&lt;2,"",$F$21)</f>
        <v/>
      </c>
      <c r="AW11" s="193" t="str">
        <f t="shared" si="3"/>
        <v/>
      </c>
      <c r="AX11" s="192" t="str">
        <f>IF(COUNT($F$20:$F$21)&lt;2,"",SUM($G$20:$I$20))</f>
        <v/>
      </c>
      <c r="AY11" s="194" t="str">
        <f>IF(COUNT($F$20:$F$21)&lt;2,"",SUM($G$21:$I$21))</f>
        <v/>
      </c>
      <c r="AZ11" s="195" t="str">
        <f t="shared" si="2"/>
        <v/>
      </c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</row>
    <row r="12" spans="2:72" ht="15" customHeight="1">
      <c r="B12" s="126"/>
      <c r="C12" s="13" t="s">
        <v>12</v>
      </c>
      <c r="D12" s="433" t="str">
        <f>IF(COUNTIF(H$7:H$10,"")&gt;2,"",IF(COUNTIF(H$7:H$10,"")=2,(IF(LARGE(H$7:H$10,1)=H$7,D$7,IF(LARGE(H$7:H$10,1)=H$8,D$8,IF(LARGE(H$7:H$10,1)=H$9,D$9,IF(LARGE(H$7:H$10,1)=H$10,D$10))))),IF(COUNTIF(H$7:H$10,"")=1,(IF(AND(LARGE(H$7:H$10,1)=LARGE(H$7:H$10,2),LARGE(H$7:H$10,2)=LARGE(H$7:H$10,3)),"empate entre 1º, 2º e 3º",IF(LARGE(H$7:H$10,1)=H$7,D$7,IF(LARGE(H$7:H$10,1)=H$8,D$8,IF(LARGE(H$7:H$10,1)=H$9,D$9,IF(LARGE(H$7:H$10,1)=H$10,D$10)))))),IF(COUNTIF(H$7:H$10,2)=2,"empate entre 1º e 2º",IF(COUNTIF(H$7:H$10,2)=3,"empate entre 1º, 2º e 3º",IF(LARGE(H$7:H$10,1)=H$7,D$7,IF(LARGE(H$7:H$10,1)=H$8,D$8,IF(LARGE(H$7:H$10,1)=H$9,D$9,IF(LARGE(H$7:H$10,1)=H$10,D$10)))))))))</f>
        <v/>
      </c>
      <c r="E12" s="433"/>
      <c r="F12" s="433"/>
      <c r="G12" s="433"/>
      <c r="H12" s="433"/>
      <c r="I12" s="14"/>
      <c r="J12" s="13" t="s">
        <v>12</v>
      </c>
      <c r="K12" s="433" t="str">
        <f>IF(COUNTIF(O$7:O$10,"")&gt;2,"",IF(COUNTIF(O$7:O$10,"")=2,(IF(LARGE(O$7:O$10,1)=O$7,K$7,IF(LARGE(O$7:O$10,1)=O$8,K$8,IF(LARGE(O$7:O$10,1)=O$9,K$9,IF(LARGE(O$7:O$10,1)=O$10,K$10))))),IF(COUNTIF(O$7:O$10,"")=1,(IF(AND(LARGE(O$7:O$10,1)=LARGE(O$7:O$10,2),LARGE(O$7:O$10,2)=LARGE(O$7:O$10,3)),"empate entre 1º, 2º e 3º",IF(LARGE(O$7:O$10,1)=O$7,K$7,IF(LARGE(O$7:O$10,1)=O$8,K$8,IF(LARGE(O$7:O$10,1)=O$9,K$9,IF(LARGE(O$7:O$10,1)=O$10,K$10)))))),IF(COUNTIF(O$7:O$10,2)=2,"empate entre 1º e 2º",IF(COUNTIF(O$7:O$10,2)=3,"empate entre 1º, 2º e 3º",IF(LARGE(O$7:O$10,1)=O$7,K$7,IF(LARGE(O$7:O$10,1)=O$8,K$8,IF(LARGE(O$7:O$10,1)=O$9,K$9,IF(LARGE(O$7:O$10,1)=O$10,K$10)))))))))</f>
        <v/>
      </c>
      <c r="L12" s="433"/>
      <c r="M12" s="433"/>
      <c r="N12" s="433"/>
      <c r="O12" s="433"/>
      <c r="P12" s="14"/>
      <c r="Q12" s="13" t="s">
        <v>12</v>
      </c>
      <c r="R12" s="433" t="str">
        <f>IF(COUNTIF(V$7:V$10,"")&gt;2,"",IF(COUNTIF(V$7:V$10,"")=2,(IF(LARGE(V$7:V$10,1)=V$7,R$7,IF(LARGE(V$7:V$10,1)=V$8,R$8,IF(LARGE(V$7:V$10,1)=V$9,R$9,IF(LARGE(V$7:V$10,1)=V$10,R$10))))),IF(COUNTIF(V$7:V$10,"")=1,(IF(AND(LARGE(V$7:V$10,1)=LARGE(V$7:V$10,2),LARGE(V$7:V$10,2)=LARGE(V$7:V$10,3)),"empate entre 1º, 2º e 3º",IF(LARGE(V$7:V$10,1)=V$7,R$7,IF(LARGE(V$7:V$10,1)=V$8,R$8,IF(LARGE(V$7:V$10,1)=V$9,R$9,IF(LARGE(V$7:V$10,1)=V$10,R$10)))))),IF(COUNTIF(V$7:V$10,2)=2,"empate entre 1º e 2º",IF(COUNTIF(V$7:V$10,2)=3,"empate entre 1º, 2º e 3º",IF(LARGE(V$7:V$10,1)=V$7,R$7,IF(LARGE(V$7:V$10,1)=V$8,R$8,IF(LARGE(V$7:V$10,1)=V$9,R$9,IF(LARGE(V$7:V$10,1)=V$10,R$10)))))))))</f>
        <v/>
      </c>
      <c r="S12" s="433"/>
      <c r="T12" s="433"/>
      <c r="U12" s="433"/>
      <c r="V12" s="433"/>
      <c r="W12" s="14"/>
      <c r="X12" s="13" t="s">
        <v>12</v>
      </c>
      <c r="Y12" s="433" t="str">
        <f>IF(COUNTIF(AC$7:AC$10,"")&gt;2,"",IF(COUNTIF(AC$7:AC$10,"")=2,(IF(LARGE(AC$7:AC$10,1)=AC$7,Y$7,IF(LARGE(AC$7:AC$10,1)=AC$8,Y$8,IF(LARGE(AC$7:AC$10,1)=AC$9,Y$9,IF(LARGE(AC$7:AC$10,1)=AC$10,Y$10))))),IF(COUNTIF(AC$7:AC$10,"")=1,(IF(AND(LARGE(AC$7:AC$10,1)=LARGE(AC$7:AC$10,2),LARGE(AC$7:AC$10,2)=LARGE(AC$7:AC$10,3)),"empate entre 1º, 2º e 3º",IF(LARGE(AC$7:AC$10,1)=AC$7,Y$7,IF(LARGE(AC$7:AC$10,1)=AC$8,Y$8,IF(LARGE(AC$7:AC$10,1)=AC$9,Y$9,IF(LARGE(AC$7:AC$10,1)=AC$10,Y$10)))))),IF(COUNTIF(AC$7:AC$10,2)=2,"empate entre 1º e 2º",IF(COUNTIF(AC$7:AC$10,2)=3,"empate entre 1º, 2º e 3º",IF(LARGE(AC$7:AC$10,1)=AC$7,Y$7,IF(LARGE(AC$7:AC$10,1)=AC$8,Y$8,IF(LARGE(AC$7:AC$10,1)=AC$9,Y$9,IF(LARGE(AC$7:AC$10,1)=AC$10,Y$10)))))))))</f>
        <v/>
      </c>
      <c r="Z12" s="433"/>
      <c r="AA12" s="433"/>
      <c r="AB12" s="433"/>
      <c r="AC12" s="433"/>
      <c r="AD12" s="14"/>
      <c r="AE12" s="113"/>
      <c r="AG12" s="109">
        <f>$J$16</f>
        <v>3</v>
      </c>
      <c r="AH12" s="161"/>
      <c r="AI12" s="109">
        <f>$J$24</f>
        <v>19</v>
      </c>
      <c r="AJ12" s="161"/>
      <c r="AK12" s="109">
        <f>$O$60</f>
        <v>34</v>
      </c>
      <c r="AL12" s="161"/>
      <c r="AN12" s="182">
        <f>IF($C20="","",$C20)</f>
        <v>9</v>
      </c>
      <c r="AO12" s="171" t="str">
        <f t="shared" si="1"/>
        <v>Grupo A</v>
      </c>
      <c r="AP12" s="367" t="str">
        <f>IF($D$21="","",$D$21)</f>
        <v>A Pereira/B Pereira (Norte)</v>
      </c>
      <c r="AQ12" s="368" t="str">
        <f t="shared" si="0"/>
        <v>Grupo A</v>
      </c>
      <c r="AR12" s="368" t="str">
        <f t="shared" si="0"/>
        <v>Grupo A</v>
      </c>
      <c r="AS12" s="369" t="str">
        <f t="shared" si="0"/>
        <v>Grupo A</v>
      </c>
      <c r="AT12" s="183" t="str">
        <f>IF(COUNT($F$20:$F$21)&lt;2,"",IF($F$20&lt;$F$21,"V",IF($F$20&gt;$F$21,"D","Empate??")))</f>
        <v/>
      </c>
      <c r="AU12" s="184" t="str">
        <f>IF(COUNT($F$20:$F$21)&lt;2,"",$F$21)</f>
        <v/>
      </c>
      <c r="AV12" s="185" t="str">
        <f>IF(COUNT($F$20:$F$21)&lt;2,"",$F$20)</f>
        <v/>
      </c>
      <c r="AW12" s="186" t="str">
        <f t="shared" si="3"/>
        <v/>
      </c>
      <c r="AX12" s="185" t="str">
        <f>IF(COUNT($F$20:$F$21)&lt;2,"",SUM($G$21:$I$21))</f>
        <v/>
      </c>
      <c r="AY12" s="187" t="str">
        <f>IF(COUNT($F$20:$F$21)&lt;2,"",SUM($G$20:$I$20))</f>
        <v/>
      </c>
      <c r="AZ12" s="188" t="str">
        <f t="shared" si="2"/>
        <v/>
      </c>
      <c r="BB12" s="240"/>
      <c r="BC12" s="240"/>
    </row>
    <row r="13" spans="2:72" ht="15" customHeight="1">
      <c r="B13" s="126"/>
      <c r="C13" s="13" t="s">
        <v>13</v>
      </c>
      <c r="D13" s="433" t="str">
        <f>IF(COUNTIF(H$7:H$10,"")&gt;2,"",IF(COUNTIF(H$7:H$10,"")=2,(IF(LARGE(H$7:H$10,2)=H$7,D$7,IF(LARGE(H$7:H$10,2)=H$8,D$8,IF(LARGE(H$7:H$10,2)=H$9,D$9,IF(LARGE(H$7:H$10,2)=H$10,D$10))))),IF(COUNTIF(H$7:H$10,"")=1,(IF(AND(LARGE(H$7:H$10,1)=LARGE(H$7:H$10,2),LARGE(H$7:H$10,2)=LARGE(H$7:H$10,3)),"empate entre 1º, 2º e 3º",IF(LARGE(H$7:H$10,2)=H$7,D$7,IF(LARGE(H$7:H$10,2)=H$8,D$8,IF(LARGE(H$7:H$10,2)=H$9,D$9,IF(LARGE(H$7:H$10,2)=H$10,D$10)))))),IF(COUNTIF(H$7:H$10,2)=2,"empate entre 1º e 2º",IF(COUNTIF(H$7:H$10,2)=3,"empate entre 1º, 2º e 3º",IF(COUNTIF(H$7:H$10,1)=3,"empate entre 2º, 3º e 4º",IF(LARGE(H$7:H$10,2)=H$7,D$7,IF(LARGE(H$7:H$10,2)=H$8,D$8,IF(LARGE(H$7:H$10,2)=H$9,D$9,IF(LARGE(H$7:H$10,2)=H$10,D$10))))))))))</f>
        <v/>
      </c>
      <c r="E13" s="433"/>
      <c r="F13" s="433"/>
      <c r="G13" s="433"/>
      <c r="H13" s="433"/>
      <c r="I13" s="14"/>
      <c r="J13" s="13" t="s">
        <v>13</v>
      </c>
      <c r="K13" s="433" t="str">
        <f>IF(COUNTIF(O$7:O$10,"")&gt;2,"",IF(COUNTIF(O$7:O$10,"")=2,(IF(LARGE(O$7:O$10,2)=O$7,K$7,IF(LARGE(O$7:O$10,2)=O$8,K$8,IF(LARGE(O$7:O$10,2)=O$9,K$9,IF(LARGE(O$7:O$10,2)=O$10,K$10))))),IF(COUNTIF(O$7:O$10,"")=1,(IF(AND(LARGE(O$7:O$10,1)=LARGE(O$7:O$10,2),LARGE(O$7:O$10,2)=LARGE(O$7:O$10,3)),"empate entre 1º, 2º e 3º",IF(LARGE(O$7:O$10,2)=O$7,K$7,IF(LARGE(O$7:O$10,2)=O$8,K$8,IF(LARGE(O$7:O$10,2)=O$9,K$9,IF(LARGE(O$7:O$10,2)=O$10,K$10)))))),IF(COUNTIF(O$7:O$10,2)=2,"empate entre 1º e 2º",IF(COUNTIF(O$7:O$10,2)=3,"empate entre 1º, 2º e 3º",IF(COUNTIF(O$7:O$10,1)=3,"empate entre 2º, 3º e 4º",IF(LARGE(O$7:O$10,2)=O$7,K$7,IF(LARGE(O$7:O$10,2)=O$8,K$8,IF(LARGE(O$7:O$10,2)=O$9,K$9,IF(LARGE(O$7:O$10,2)=O$10,K$10))))))))))</f>
        <v/>
      </c>
      <c r="L13" s="433"/>
      <c r="M13" s="433"/>
      <c r="N13" s="433"/>
      <c r="O13" s="433"/>
      <c r="P13" s="14"/>
      <c r="Q13" s="13" t="s">
        <v>13</v>
      </c>
      <c r="R13" s="433" t="str">
        <f>IF(COUNTIF(V$7:V$10,"")&gt;2,"",IF(COUNTIF(V$7:V$10,"")=2,(IF(LARGE(V$7:V$10,2)=V$7,R$7,IF(LARGE(V$7:V$10,2)=V$8,R$8,IF(LARGE(V$7:V$10,2)=V$9,R$9,IF(LARGE(V$7:V$10,2)=V$10,R$10))))),IF(COUNTIF(V$7:V$10,"")=1,(IF(AND(LARGE(V$7:V$10,1)=LARGE(V$7:V$10,2),LARGE(V$7:V$10,2)=LARGE(V$7:V$10,3)),"empate entre 1º, 2º e 3º",IF(LARGE(V$7:V$10,2)=V$7,R$7,IF(LARGE(V$7:V$10,2)=V$8,R$8,IF(LARGE(V$7:V$10,2)=V$9,R$9,IF(LARGE(V$7:V$10,2)=V$10,R$10)))))),IF(COUNTIF(V$7:V$10,2)=2,"empate entre 1º e 2º",IF(COUNTIF(V$7:V$10,2)=3,"empate entre 1º, 2º e 3º",IF(COUNTIF(V$7:V$10,1)=3,"empate entre 2º, 3º e 4º",IF(LARGE(V$7:V$10,2)=V$7,R$7,IF(LARGE(V$7:V$10,2)=V$8,R$8,IF(LARGE(V$7:V$10,2)=V$9,R$9,IF(LARGE(V$7:V$10,2)=V$10,R$10))))))))))</f>
        <v/>
      </c>
      <c r="S13" s="433"/>
      <c r="T13" s="433"/>
      <c r="U13" s="433"/>
      <c r="V13" s="433"/>
      <c r="W13" s="14"/>
      <c r="X13" s="13" t="s">
        <v>13</v>
      </c>
      <c r="Y13" s="433" t="str">
        <f>IF(COUNTIF(AC$7:AC$10,"")&gt;2,"",IF(COUNTIF(AC$7:AC$10,"")=2,(IF(LARGE(AC$7:AC$10,2)=AC$7,Y$7,IF(LARGE(AC$7:AC$10,2)=AC$8,Y$8,IF(LARGE(AC$7:AC$10,2)=AC$9,Y$9,IF(LARGE(AC$7:AC$10,2)=AC$10,Y$10))))),IF(COUNTIF(AC$7:AC$10,"")=1,(IF(AND(LARGE(AC$7:AC$10,1)=LARGE(AC$7:AC$10,2),LARGE(AC$7:AC$10,2)=LARGE(AC$7:AC$10,3)),"empate entre 1º, 2º e 3º",IF(LARGE(AC$7:AC$10,2)=AC$7,Y$7,IF(LARGE(AC$7:AC$10,2)=AC$8,Y$8,IF(LARGE(AC$7:AC$10,2)=AC$9,Y$9,IF(LARGE(AC$7:AC$10,2)=AC$10,Y$10)))))),IF(COUNTIF(AC$7:AC$10,2)=2,"empate entre 1º e 2º",IF(COUNTIF(AC$7:AC$10,2)=3,"empate entre 1º, 2º e 3º",IF(COUNTIF(AC$7:AC$10,1)=3,"empate entre 2º, 3º e 4º",IF(LARGE(AC$7:AC$10,2)=AC$7,Y$7,IF(LARGE(AC$7:AC$10,2)=AC$8,Y$8,IF(LARGE(AC$7:AC$10,2)=AC$9,Y$9,IF(LARGE(AC$7:AC$10,2)=AC$10,Y$10))))))))))</f>
        <v/>
      </c>
      <c r="Z13" s="433"/>
      <c r="AA13" s="433"/>
      <c r="AB13" s="433"/>
      <c r="AC13" s="433"/>
      <c r="AD13" s="14"/>
      <c r="AE13" s="113"/>
      <c r="AG13" s="109">
        <f>$J$18</f>
        <v>4</v>
      </c>
      <c r="AH13" s="161"/>
      <c r="AI13" s="109">
        <f>$J$26</f>
        <v>20</v>
      </c>
      <c r="AJ13" s="161"/>
      <c r="AK13" s="109">
        <f>$V$56</f>
        <v>35</v>
      </c>
      <c r="AL13" s="161"/>
      <c r="AN13" s="189">
        <f>IF($C22="","",$C22)</f>
        <v>10</v>
      </c>
      <c r="AO13" s="172" t="str">
        <f t="shared" si="1"/>
        <v>Grupo A</v>
      </c>
      <c r="AP13" s="364" t="str">
        <f>IF($D$22="","",$D$22)</f>
        <v>M Henriques/M Afonso (Lisboa)</v>
      </c>
      <c r="AQ13" s="365" t="str">
        <f t="shared" si="0"/>
        <v>Grupo A</v>
      </c>
      <c r="AR13" s="365" t="str">
        <f t="shared" si="0"/>
        <v>Grupo A</v>
      </c>
      <c r="AS13" s="366" t="str">
        <f t="shared" si="0"/>
        <v>Grupo A</v>
      </c>
      <c r="AT13" s="190" t="str">
        <f>IF(COUNT($F$22:$F$23)&lt;2,"",IF($F$22&gt;$F$23,"V",IF($F$22&lt;$F$23,"D","Empate??")))</f>
        <v/>
      </c>
      <c r="AU13" s="191" t="str">
        <f>IF(COUNT($F$22:$F$23)&lt;2,"",$F$22)</f>
        <v/>
      </c>
      <c r="AV13" s="192" t="str">
        <f>IF(COUNT($F$22:$F$23)&lt;2,"",$F$23)</f>
        <v/>
      </c>
      <c r="AW13" s="193" t="str">
        <f t="shared" si="3"/>
        <v/>
      </c>
      <c r="AX13" s="192" t="str">
        <f>IF(COUNT($F$22:$F$23)&lt;2,"",SUM($G$22:$I$22))</f>
        <v/>
      </c>
      <c r="AY13" s="194" t="str">
        <f>IF(COUNT($F$22:$F$23)&lt;2,"",SUM($G$23:$I$23))</f>
        <v/>
      </c>
      <c r="AZ13" s="195" t="str">
        <f t="shared" si="2"/>
        <v/>
      </c>
    </row>
    <row r="14" spans="2:72" ht="15" customHeight="1" thickBot="1">
      <c r="B14" s="126"/>
      <c r="C14" s="6" t="s">
        <v>14</v>
      </c>
      <c r="D14" s="434" t="str">
        <f>IF(COUNTIF(H$7:H$10,"")&gt;=2,"",IF(COUNTIF(H$7:H$10,"")=1,(IF(LARGE(H$7:H$10,3)=1,"empate entre 1º, 2º e 3º",IF(LARGE(H$7:H$10,3)=H$7,D$7,IF(LARGE(H$7:H$10,3)=H$8,D$8,IF(LARGE(H$7:H$10,3)=H$9,D$9,IF(LARGE(H$7:H$10,3)=H$10,D$10)))))),IF(COUNTIF(H$7:H$10,2)=3,"empate entre 1º, 2º e 3º",IF(COUNTIF(H$7:H$10,1)=3,"empate entre 2º, 3º e 4º",IF(COUNTIF(H$7:H$10,1)=2,"empate entre 3º e 4º",IF(LARGE(H$7:H$10,3)=H$7,D$7,IF(LARGE(H$7:H$10,3)=H$8,D$8,IF(LARGE(H$7:H$10,3)=H$9,D$9,IF(LARGE(H$7:H$10,3)=H$10,D$10)))))))))</f>
        <v/>
      </c>
      <c r="E14" s="434"/>
      <c r="F14" s="434"/>
      <c r="G14" s="434"/>
      <c r="H14" s="434"/>
      <c r="I14" s="12"/>
      <c r="J14" s="15" t="s">
        <v>14</v>
      </c>
      <c r="K14" s="434" t="str">
        <f>IF(COUNTIF(O$7:O$10,"")&gt;=2,"",IF(COUNTIF(O$7:O$10,"")=1,(IF(LARGE(O$7:O$10,3)=1,"empate entre 1º, 2º e 3º",IF(LARGE(O$7:O$10,3)=O$7,K$7,IF(LARGE(O$7:O$10,3)=O$8,K$8,IF(LARGE(O$7:O$10,3)=O$9,K$9,IF(LARGE(O$7:O$10,3)=O$10,K$10)))))),IF(COUNTIF(O$7:O$10,2)=3,"empate entre 1º, 2º e 3º",IF(COUNTIF(O$7:O$10,1)=3,"empate entre 2º, 3º e 4º",IF(COUNTIF(O$7:O$10,1)=2,"empate entre 3º e 4º",IF(LARGE(O$7:O$10,3)=O$7,K$7,IF(LARGE(O$7:O$10,3)=O$8,K$8,IF(LARGE(O$7:O$10,3)=O$9,K$9,IF(LARGE(O$7:O$10,3)=O$10,K$10)))))))))</f>
        <v/>
      </c>
      <c r="L14" s="434"/>
      <c r="M14" s="434"/>
      <c r="N14" s="434"/>
      <c r="O14" s="434"/>
      <c r="P14" s="16"/>
      <c r="Q14" s="6" t="s">
        <v>14</v>
      </c>
      <c r="R14" s="434" t="str">
        <f>IF(COUNTIF(V$7:V$10,"")&gt;=2,"",IF(COUNTIF(V$7:V$10,"")=1,(IF(LARGE(V$7:V$10,3)=1,"empate entre 1º, 2º e 3º",IF(LARGE(V$7:V$10,3)=V$7,R$7,IF(LARGE(V$7:V$10,3)=V$8,R$8,IF(LARGE(V$7:V$10,3)=V$9,R$9,IF(LARGE(V$7:V$10,3)=V$10,R$10)))))),IF(COUNTIF(V$7:V$10,2)=3,"empate entre 1º, 2º e 3º",IF(COUNTIF(V$7:V$10,1)=3,"empate entre 2º, 3º e 4º",IF(COUNTIF(V$7:V$10,1)=2,"empate entre 3º e 4º",IF(LARGE(V$7:V$10,3)=V$7,R$7,IF(LARGE(V$7:V$10,3)=V$8,R$8,IF(LARGE(V$7:V$10,3)=V$9,R$9,IF(LARGE(V$7:V$10,3)=V$10,R$10)))))))))</f>
        <v/>
      </c>
      <c r="S14" s="434"/>
      <c r="T14" s="434"/>
      <c r="U14" s="434"/>
      <c r="V14" s="434"/>
      <c r="W14" s="12"/>
      <c r="X14" s="6" t="s">
        <v>14</v>
      </c>
      <c r="Y14" s="434" t="str">
        <f>IF(COUNTIF(AC$7:AC$10,"")&gt;=2,"",IF(COUNTIF(AC$7:AC$10,"")=1,(IF(LARGE(AC$7:AC$10,3)=1,"empate entre 1º, 2º e 3º",IF(LARGE(AC$7:AC$10,3)=AC$7,Y$7,IF(LARGE(AC$7:AC$10,3)=AC$8,Y$8,IF(LARGE(AC$7:AC$10,3)=AC$9,Y$9,IF(LARGE(AC$7:AC$10,3)=AC$10,Y$10)))))),IF(COUNTIF(AC$7:AC$10,2)=3,"empate entre 1º, 2º e 3º",IF(COUNTIF(AC$7:AC$10,1)=3,"empate entre 2º, 3º e 4º",IF(COUNTIF(AC$7:AC$10,1)=2,"empate entre 3º e 4º",IF(LARGE(AC$7:AC$10,3)=AC$7,Y$7,IF(LARGE(AC$7:AC$10,3)=AC$8,Y$8,IF(LARGE(AC$7:AC$10,3)=AC$9,Y$9,IF(LARGE(AC$7:AC$10,3)=AC$10,Y$10)))))))))</f>
        <v/>
      </c>
      <c r="Z14" s="434"/>
      <c r="AA14" s="434"/>
      <c r="AB14" s="434"/>
      <c r="AC14" s="434"/>
      <c r="AD14" s="12"/>
      <c r="AE14" s="113"/>
      <c r="AG14" s="109">
        <f>$Q$16</f>
        <v>5</v>
      </c>
      <c r="AH14" s="161"/>
      <c r="AI14" s="109">
        <f>$Q$24</f>
        <v>21</v>
      </c>
      <c r="AJ14" s="161"/>
      <c r="AK14" s="130">
        <f>$W$56</f>
        <v>36</v>
      </c>
      <c r="AL14" s="163"/>
      <c r="AN14" s="182">
        <f>IF($C22="","",$C22)</f>
        <v>10</v>
      </c>
      <c r="AO14" s="171" t="str">
        <f t="shared" si="1"/>
        <v>Grupo A</v>
      </c>
      <c r="AP14" s="367" t="str">
        <f>IF($D$23="","",$D$23)</f>
        <v>A Costa/M Gomes (Centro)</v>
      </c>
      <c r="AQ14" s="368" t="str">
        <f t="shared" si="0"/>
        <v>Grupo A</v>
      </c>
      <c r="AR14" s="368" t="str">
        <f t="shared" si="0"/>
        <v>Grupo A</v>
      </c>
      <c r="AS14" s="369" t="str">
        <f t="shared" si="0"/>
        <v>Grupo A</v>
      </c>
      <c r="AT14" s="183" t="str">
        <f>IF(COUNT($F$22:$F$23)&lt;2,"",IF($F$22&lt;$F$23,"V",IF($F$22&gt;$F$23,"D","Empate??")))</f>
        <v/>
      </c>
      <c r="AU14" s="184" t="str">
        <f>IF(COUNT($F$22:$F$23)&lt;2,"",$F$23)</f>
        <v/>
      </c>
      <c r="AV14" s="185" t="str">
        <f>IF(COUNT($F$22:$F$23)&lt;2,"",$F$22)</f>
        <v/>
      </c>
      <c r="AW14" s="186" t="str">
        <f t="shared" si="3"/>
        <v/>
      </c>
      <c r="AX14" s="185" t="str">
        <f>IF(COUNT($F$22:$F$23)&lt;2,"",SUM($G$23:$I$23))</f>
        <v/>
      </c>
      <c r="AY14" s="187" t="str">
        <f>IF(COUNT($F$22:$F$23)&lt;2,"",SUM($G$22:$I$22))</f>
        <v/>
      </c>
      <c r="AZ14" s="188" t="str">
        <f t="shared" si="2"/>
        <v/>
      </c>
    </row>
    <row r="15" spans="2:72" ht="19.5" customHeight="1" thickBot="1">
      <c r="B15" s="126"/>
      <c r="C15" s="17" t="s">
        <v>15</v>
      </c>
      <c r="D15" s="430" t="str">
        <f>IF(COUNTIF(H$7:H$10,"")&gt;=1,"",IF(COUNTIF(H$7:H$10,1)=3,"empate entre 2º, 3º e 4º",IF(COUNTIF(H$7:H$10,1)=2,"empate entre 3º e 4º",IF(LARGE(H$7:H$10,4)=H$7,D$7,IF(LARGE(H$7:H$10,4)=H$8,D$8,IF(LARGE(H$7:H$10,4)=H$9,D$9,IF(LARGE(H$7:H$10,4)=H$10,D$10)))))))</f>
        <v/>
      </c>
      <c r="E15" s="430"/>
      <c r="F15" s="430"/>
      <c r="G15" s="430"/>
      <c r="H15" s="430"/>
      <c r="I15" s="18"/>
      <c r="J15" s="19" t="s">
        <v>15</v>
      </c>
      <c r="K15" s="430" t="str">
        <f>IF(COUNTIF(O$7:O$10,"")&gt;=1,"",IF(COUNTIF(O$7:O$10,1)=3,"empate entre 2º, 3º e 4º",IF(COUNTIF(O$7:O$10,1)=2,"empate entre 3º e 4º",IF(LARGE(O$7:O$10,4)=O$7,K$7,IF(LARGE(O$7:O$10,4)=O$8,K$8,IF(LARGE(O$7:O$10,4)=O$9,K$9,IF(LARGE(O$7:O$10,4)=O$10,K$10)))))))</f>
        <v/>
      </c>
      <c r="L15" s="430"/>
      <c r="M15" s="430"/>
      <c r="N15" s="430"/>
      <c r="O15" s="430"/>
      <c r="P15" s="20"/>
      <c r="Q15" s="17" t="s">
        <v>15</v>
      </c>
      <c r="R15" s="430" t="str">
        <f>IF(COUNTIF(V$7:V$10,"")&gt;=1,"",IF(COUNTIF(V$7:V$10,1)=3,"empate entre 2º, 3º e 4º",IF(COUNTIF(V$7:V$10,1)=2,"empate entre 3º e 4º",IF(LARGE(V$7:V$10,4)=V$7,R$7,IF(LARGE(V$7:V$10,4)=V$8,R$8,IF(LARGE(V$7:V$10,4)=V$9,R$9,IF(LARGE(V$7:V$10,4)=V$10,R$10)))))))</f>
        <v/>
      </c>
      <c r="S15" s="430"/>
      <c r="T15" s="430"/>
      <c r="U15" s="430"/>
      <c r="V15" s="430"/>
      <c r="W15" s="18"/>
      <c r="X15" s="17" t="s">
        <v>15</v>
      </c>
      <c r="Y15" s="430" t="str">
        <f>IF(COUNTIF(AC$7:AC$10,"")&gt;=1,"",IF(COUNTIF(AC$7:AC$10,1)=3,"empate entre 2º, 3º e 4º",IF(COUNTIF(AC$7:AC$10,1)=2,"empate entre 3º e 4º",IF(LARGE(AC$7:AC$10,4)=AC$7,Y$7,IF(LARGE(AC$7:AC$10,4)=AC$8,Y$8,IF(LARGE(AC$7:AC$10,4)=AC$9,Y$9,IF(LARGE(AC$7:AC$10,4)=AC$10,Y$10)))))))</f>
        <v/>
      </c>
      <c r="Z15" s="430"/>
      <c r="AA15" s="430"/>
      <c r="AB15" s="430"/>
      <c r="AC15" s="430"/>
      <c r="AD15" s="18"/>
      <c r="AE15" s="113"/>
      <c r="AG15" s="109">
        <f>$Q$18</f>
        <v>6</v>
      </c>
      <c r="AH15" s="161"/>
      <c r="AI15" s="109">
        <f>$Q$26</f>
        <v>22</v>
      </c>
      <c r="AJ15" s="161"/>
      <c r="AK15" s="431" t="s">
        <v>230</v>
      </c>
      <c r="AL15" s="432"/>
      <c r="AN15" s="189">
        <f>IF($C24="","",$C24)</f>
        <v>17</v>
      </c>
      <c r="AO15" s="172" t="str">
        <f t="shared" si="1"/>
        <v>Grupo A</v>
      </c>
      <c r="AP15" s="364" t="str">
        <f>IF($D$24="","",$D$24)</f>
        <v>A Costa/M Gomes (Centro)</v>
      </c>
      <c r="AQ15" s="365" t="str">
        <f t="shared" si="0"/>
        <v>Grupo A</v>
      </c>
      <c r="AR15" s="365" t="str">
        <f t="shared" si="0"/>
        <v>Grupo A</v>
      </c>
      <c r="AS15" s="366" t="str">
        <f t="shared" si="0"/>
        <v>Grupo A</v>
      </c>
      <c r="AT15" s="190" t="str">
        <f>IF(COUNT($F$24:$F$25)&lt;2,"",IF($F$24&gt;$F$25,"V",IF($F$24&lt;$F$25,"D","Empate??")))</f>
        <v/>
      </c>
      <c r="AU15" s="191" t="str">
        <f>IF(COUNT($F$24:$F$25)&lt;2,"",$F$24)</f>
        <v/>
      </c>
      <c r="AV15" s="192" t="str">
        <f>IF(COUNT($F$24:$F$25)&lt;2,"",$F$25)</f>
        <v/>
      </c>
      <c r="AW15" s="193" t="str">
        <f t="shared" si="3"/>
        <v/>
      </c>
      <c r="AX15" s="192" t="str">
        <f>IF(COUNT($F$24:$F$25)&lt;2,"",SUM($G$24:$I$24))</f>
        <v/>
      </c>
      <c r="AY15" s="194" t="str">
        <f>IF(COUNT($F$24:$F$25)&lt;2,"",SUM($G$25:$I$25))</f>
        <v/>
      </c>
      <c r="AZ15" s="195" t="str">
        <f t="shared" si="2"/>
        <v/>
      </c>
    </row>
    <row r="16" spans="2:72" ht="15" customHeight="1">
      <c r="B16" s="126"/>
      <c r="C16" s="428">
        <v>1</v>
      </c>
      <c r="D16" s="425" t="str">
        <f>IF(D7="","",D7)</f>
        <v>M Henriques/M Afonso (Lisboa)</v>
      </c>
      <c r="E16" s="425"/>
      <c r="F16" s="21" t="str">
        <f>IF(COUNT(G16:I16)&lt;1,"",IF(SUM(IF(G16&gt;G17,1,0),IF(H16&gt;H17,1,0),IF(I16&gt;I17,1,0))&gt;2,"??",SUM(IF(G16&gt;G17,1,0),IF(H16&gt;H17,1,0),IF(I16&gt;I17,1,0))))</f>
        <v/>
      </c>
      <c r="G16" s="138"/>
      <c r="H16" s="139"/>
      <c r="I16" s="140"/>
      <c r="J16" s="423">
        <v>3</v>
      </c>
      <c r="K16" s="425" t="str">
        <f>IF(K7="","",K7)</f>
        <v>A Nunes/S Barros (Norte)</v>
      </c>
      <c r="L16" s="425"/>
      <c r="M16" s="21" t="str">
        <f>IF(COUNT(N16:P16)&lt;1,"",IF(SUM(IF(N16&gt;N17,1,0),IF(O16&gt;O17,1,0),IF(P16&gt;P17,1,0))&gt;2,"??",SUM(IF(N16&gt;N17,1,0),IF(O16&gt;O17,1,0),IF(P16&gt;P17,1,0))))</f>
        <v/>
      </c>
      <c r="N16" s="138"/>
      <c r="O16" s="139"/>
      <c r="P16" s="140"/>
      <c r="Q16" s="423">
        <v>5</v>
      </c>
      <c r="R16" s="425" t="str">
        <f>IF(R7="","",R7)</f>
        <v>D Pereira/M Conceição (Centro)</v>
      </c>
      <c r="S16" s="425"/>
      <c r="T16" s="21" t="str">
        <f>IF(COUNT(U16:W16)&lt;1,"",IF(SUM(IF(U16&gt;U17,1,0),IF(V16&gt;V17,1,0),IF(W16&gt;W17,1,0))&gt;2,"??",SUM(IF(U16&gt;U17,1,0),IF(V16&gt;V17,1,0),IF(W16&gt;W17,1,0))))</f>
        <v/>
      </c>
      <c r="U16" s="138"/>
      <c r="V16" s="139"/>
      <c r="W16" s="140"/>
      <c r="X16" s="423">
        <v>7</v>
      </c>
      <c r="Y16" s="425" t="str">
        <f>IF(Y7="","",Y7)</f>
        <v>C Abreu/M Marques (Lisboa)</v>
      </c>
      <c r="Z16" s="425"/>
      <c r="AA16" s="21" t="str">
        <f>IF(COUNT(AB16:AD16)&lt;1,"",IF(SUM(IF(AB16&gt;AB17,1,0),IF(AC16&gt;AC17,1,0),IF(AD16&gt;AD17,1,0))&gt;2,"??",SUM(IF(AB16&gt;AB17,1,0),IF(AC16&gt;AC17,1,0),IF(AD16&gt;AD17,1,0))))</f>
        <v/>
      </c>
      <c r="AB16" s="138"/>
      <c r="AC16" s="139"/>
      <c r="AD16" s="140"/>
      <c r="AE16" s="426" t="s">
        <v>44</v>
      </c>
      <c r="AG16" s="109">
        <f>$X$16</f>
        <v>7</v>
      </c>
      <c r="AH16" s="161"/>
      <c r="AI16" s="109">
        <f>$X$24</f>
        <v>23</v>
      </c>
      <c r="AJ16" s="161"/>
      <c r="AK16" s="159">
        <f>$O$70</f>
        <v>37</v>
      </c>
      <c r="AL16" s="160"/>
      <c r="AN16" s="182">
        <f>IF($C24="","",$C24)</f>
        <v>17</v>
      </c>
      <c r="AO16" s="171" t="str">
        <f t="shared" si="1"/>
        <v>Grupo A</v>
      </c>
      <c r="AP16" s="367" t="str">
        <f>IF($D$25="","",$D$25)</f>
        <v/>
      </c>
      <c r="AQ16" s="368" t="str">
        <f t="shared" si="0"/>
        <v>Grupo A</v>
      </c>
      <c r="AR16" s="368" t="str">
        <f t="shared" si="0"/>
        <v>Grupo A</v>
      </c>
      <c r="AS16" s="369" t="str">
        <f t="shared" si="0"/>
        <v>Grupo A</v>
      </c>
      <c r="AT16" s="183" t="str">
        <f>IF(COUNT($F$24:$F$25)&lt;2,"",IF($F$24&lt;$F$25,"V",IF($F$24&gt;$F$25,"D","Empate??")))</f>
        <v/>
      </c>
      <c r="AU16" s="184" t="str">
        <f>IF(COUNT($F$24:$F$25)&lt;2,"",$F$25)</f>
        <v/>
      </c>
      <c r="AV16" s="185" t="str">
        <f>IF(COUNT($F$24:$F$25)&lt;2,"",$F$24)</f>
        <v/>
      </c>
      <c r="AW16" s="186" t="str">
        <f t="shared" si="3"/>
        <v/>
      </c>
      <c r="AX16" s="185" t="str">
        <f>IF(COUNT($F$24:$F$25)&lt;2,"",SUM($G$25:$I$25))</f>
        <v/>
      </c>
      <c r="AY16" s="187" t="str">
        <f>IF(COUNT($F$24:$F$25)&lt;2,"",SUM($G$24:$I$24))</f>
        <v/>
      </c>
      <c r="AZ16" s="188" t="str">
        <f t="shared" si="2"/>
        <v/>
      </c>
    </row>
    <row r="17" spans="2:52" ht="15" customHeight="1">
      <c r="B17" s="126"/>
      <c r="C17" s="429"/>
      <c r="D17" s="398" t="str">
        <f>IF(D10="","",D10)</f>
        <v/>
      </c>
      <c r="E17" s="398"/>
      <c r="F17" s="22" t="str">
        <f>IF(COUNT(G17:I17)&lt;1,"",IF(SUM(IF(G17&gt;G16,1,0),IF(H17&gt;H16,1,0),IF(I17&gt;I16,1,0))&gt;2,"??",SUM(IF(G17&gt;G16,1,0),IF(H17&gt;H16,1,0),IF(I17&gt;I16,1,0))))</f>
        <v/>
      </c>
      <c r="G17" s="141"/>
      <c r="H17" s="142"/>
      <c r="I17" s="143"/>
      <c r="J17" s="424"/>
      <c r="K17" s="398" t="str">
        <f>IF(K10="","",K10)</f>
        <v/>
      </c>
      <c r="L17" s="398"/>
      <c r="M17" s="22" t="str">
        <f>IF(COUNT(N17:P17)&lt;1,"",IF(SUM(IF(N17&gt;N16,1,0),IF(O17&gt;O16,1,0),IF(P17&gt;P16,1,0))&gt;2,"??",SUM(IF(N17&gt;N16,1,0),IF(O17&gt;O16,1,0),IF(P17&gt;P16,1,0))))</f>
        <v/>
      </c>
      <c r="N17" s="141"/>
      <c r="O17" s="142"/>
      <c r="P17" s="143"/>
      <c r="Q17" s="424"/>
      <c r="R17" s="398" t="str">
        <f>IF(R10="","",R10)</f>
        <v/>
      </c>
      <c r="S17" s="398"/>
      <c r="T17" s="22" t="str">
        <f>IF(COUNT(U17:W17)&lt;1,"",IF(SUM(IF(U17&gt;U16,1,0),IF(V17&gt;V16,1,0),IF(W17&gt;W16,1,0))&gt;2,"??",SUM(IF(U17&gt;U16,1,0),IF(V17&gt;V16,1,0),IF(W17&gt;W16,1,0))))</f>
        <v/>
      </c>
      <c r="U17" s="141"/>
      <c r="V17" s="142"/>
      <c r="W17" s="143"/>
      <c r="X17" s="424"/>
      <c r="Y17" s="398" t="str">
        <f>IF(Y10="","",Y10)</f>
        <v/>
      </c>
      <c r="Z17" s="398"/>
      <c r="AA17" s="22" t="str">
        <f>IF(COUNT(AB17:AD17)&lt;1,"",IF(SUM(IF(AB17&gt;AB16,1,0),IF(AC17&gt;AC16,1,0),IF(AD17&gt;AD16,1,0))&gt;2,"??",SUM(IF(AB17&gt;AB16,1,0),IF(AC17&gt;AC16,1,0),IF(AD17&gt;AD16,1,0))))</f>
        <v/>
      </c>
      <c r="AB17" s="141"/>
      <c r="AC17" s="142"/>
      <c r="AD17" s="143"/>
      <c r="AE17" s="396"/>
      <c r="AG17" s="109">
        <f>$X$18</f>
        <v>8</v>
      </c>
      <c r="AH17" s="161"/>
      <c r="AI17" s="109">
        <f>$X$26</f>
        <v>24</v>
      </c>
      <c r="AJ17" s="161"/>
      <c r="AK17" s="109">
        <f>$O$78</f>
        <v>38</v>
      </c>
      <c r="AL17" s="161"/>
      <c r="AN17" s="189">
        <f>IF($C26="","",$C26)</f>
        <v>18</v>
      </c>
      <c r="AO17" s="172" t="str">
        <f t="shared" si="1"/>
        <v>Grupo A</v>
      </c>
      <c r="AP17" s="364" t="str">
        <f>IF($D$26="","",$D$26)</f>
        <v>A Pereira/B Pereira (Norte)</v>
      </c>
      <c r="AQ17" s="365" t="str">
        <f t="shared" si="0"/>
        <v>Grupo A</v>
      </c>
      <c r="AR17" s="365" t="str">
        <f t="shared" si="0"/>
        <v>Grupo A</v>
      </c>
      <c r="AS17" s="366" t="str">
        <f t="shared" si="0"/>
        <v>Grupo A</v>
      </c>
      <c r="AT17" s="190" t="str">
        <f>IF(COUNT($F$26:$F$27)&lt;2,"",IF($F$26&gt;$F$27,"V",IF($F$26&lt;$F$27,"D","Empate??")))</f>
        <v/>
      </c>
      <c r="AU17" s="191" t="str">
        <f>IF(COUNT($F$26:$F$27)&lt;2,"",$F$26)</f>
        <v/>
      </c>
      <c r="AV17" s="192" t="str">
        <f>IF(COUNT($F$26:$F$27)&lt;2,"",$F$27)</f>
        <v/>
      </c>
      <c r="AW17" s="193" t="str">
        <f t="shared" si="3"/>
        <v/>
      </c>
      <c r="AX17" s="192" t="str">
        <f>IF(COUNT($F$26:$F$27)&lt;2,"",SUM($G$26:$I$26))</f>
        <v/>
      </c>
      <c r="AY17" s="194" t="str">
        <f>IF(COUNT($F$26:$F$27)&lt;2,"",SUM($G$27:$I$27))</f>
        <v/>
      </c>
      <c r="AZ17" s="195" t="str">
        <f t="shared" si="2"/>
        <v/>
      </c>
    </row>
    <row r="18" spans="2:52" ht="15" customHeight="1" thickBot="1">
      <c r="B18" s="126"/>
      <c r="C18" s="373">
        <v>2</v>
      </c>
      <c r="D18" s="375" t="str">
        <f>IF(D8="","",D8)</f>
        <v>A Costa/M Gomes (Centro)</v>
      </c>
      <c r="E18" s="375"/>
      <c r="F18" s="23" t="str">
        <f>IF(COUNT(G18:I18)&lt;1,"",IF(SUM(IF(G18&gt;G19,1,0),IF(H18&gt;H19,1,0),IF(I18&gt;I19,1,0))&gt;2,"??",SUM(IF(G18&gt;G19,1,0),IF(H18&gt;H19,1,0),IF(I18&gt;I19,1,0))))</f>
        <v/>
      </c>
      <c r="G18" s="144"/>
      <c r="H18" s="145"/>
      <c r="I18" s="146"/>
      <c r="J18" s="373">
        <v>4</v>
      </c>
      <c r="K18" s="375" t="str">
        <f>IF(K8="","",K8)</f>
        <v>S Anica/S Anica (Lisboa)</v>
      </c>
      <c r="L18" s="375"/>
      <c r="M18" s="23" t="str">
        <f>IF(COUNT(N18:P18)&lt;1,"",IF(SUM(IF(N18&gt;N19,1,0),IF(O18&gt;O19,1,0),IF(P18&gt;P19,1,0))&gt;2,"??",SUM(IF(N18&gt;N19,1,0),IF(O18&gt;O19,1,0),IF(P18&gt;P19,1,0))))</f>
        <v/>
      </c>
      <c r="N18" s="144"/>
      <c r="O18" s="145"/>
      <c r="P18" s="146"/>
      <c r="Q18" s="373">
        <v>6</v>
      </c>
      <c r="R18" s="375" t="str">
        <f>IF(R8="","",R8)</f>
        <v>A Vitó/M Neves (Norte)</v>
      </c>
      <c r="S18" s="375"/>
      <c r="T18" s="23" t="str">
        <f>IF(COUNT(U18:W18)&lt;1,"",IF(SUM(IF(U18&gt;U19,1,0),IF(V18&gt;V19,1,0),IF(W18&gt;W19,1,0))&gt;2,"??",SUM(IF(U18&gt;U19,1,0),IF(V18&gt;V19,1,0),IF(W18&gt;W19,1,0))))</f>
        <v/>
      </c>
      <c r="U18" s="144"/>
      <c r="V18" s="145"/>
      <c r="W18" s="146"/>
      <c r="X18" s="373">
        <v>8</v>
      </c>
      <c r="Y18" s="375" t="str">
        <f>IF(Y8="","",Y8)</f>
        <v>G Mouteira/M Maia (Norte)</v>
      </c>
      <c r="Z18" s="375"/>
      <c r="AA18" s="23" t="str">
        <f>IF(COUNT(AB18:AD18)&lt;1,"",IF(SUM(IF(AB18&gt;AB19,1,0),IF(AC18&gt;AC19,1,0),IF(AD18&gt;AD19,1,0))&gt;2,"??",SUM(IF(AB18&gt;AB19,1,0),IF(AC18&gt;AC19,1,0),IF(AD18&gt;AD19,1,0))))</f>
        <v/>
      </c>
      <c r="AB18" s="144"/>
      <c r="AC18" s="145"/>
      <c r="AD18" s="146"/>
      <c r="AE18" s="396"/>
      <c r="AG18" s="131">
        <f>$C$20</f>
        <v>9</v>
      </c>
      <c r="AH18" s="162"/>
      <c r="AI18" s="131">
        <f>$H$31</f>
        <v>25</v>
      </c>
      <c r="AJ18" s="162"/>
      <c r="AK18" s="109">
        <f>$V$74</f>
        <v>39</v>
      </c>
      <c r="AL18" s="161"/>
      <c r="AN18" s="196">
        <f>IF($C26="","",$C26)</f>
        <v>18</v>
      </c>
      <c r="AO18" s="175" t="str">
        <f t="shared" si="1"/>
        <v>Grupo A</v>
      </c>
      <c r="AP18" s="358" t="str">
        <f>IF($D$27="","",$D$27)</f>
        <v>M Henriques/M Afonso (Lisboa)</v>
      </c>
      <c r="AQ18" s="359" t="str">
        <f t="shared" si="0"/>
        <v>Grupo A</v>
      </c>
      <c r="AR18" s="359" t="str">
        <f t="shared" si="0"/>
        <v>Grupo A</v>
      </c>
      <c r="AS18" s="360" t="str">
        <f t="shared" si="0"/>
        <v>Grupo A</v>
      </c>
      <c r="AT18" s="176" t="str">
        <f>IF(COUNT($F$26:$F$27)&lt;2,"",IF($F$26&lt;$F$27,"V",IF($F$26&gt;$F$27,"D","Empate??")))</f>
        <v/>
      </c>
      <c r="AU18" s="177" t="str">
        <f>IF(COUNT($F$26:$F$27)&lt;2,"",$F$27)</f>
        <v/>
      </c>
      <c r="AV18" s="178" t="str">
        <f>IF(COUNT($F$26:$F$27)&lt;2,"",$F$26)</f>
        <v/>
      </c>
      <c r="AW18" s="179" t="str">
        <f t="shared" si="3"/>
        <v/>
      </c>
      <c r="AX18" s="178" t="str">
        <f>IF(COUNT($F$26:$F$27)&lt;2,"",SUM($G$27:$I$27))</f>
        <v/>
      </c>
      <c r="AY18" s="180" t="str">
        <f>IF(COUNT($F$26:$F$27)&lt;2,"",SUM($G$26:$I$26))</f>
        <v/>
      </c>
      <c r="AZ18" s="181" t="str">
        <f t="shared" si="2"/>
        <v/>
      </c>
    </row>
    <row r="19" spans="2:52" ht="15" customHeight="1" thickBot="1">
      <c r="B19" s="126"/>
      <c r="C19" s="417"/>
      <c r="D19" s="416" t="str">
        <f>IF(D9="","",D9)</f>
        <v>A Pereira/B Pereira (Norte)</v>
      </c>
      <c r="E19" s="416"/>
      <c r="F19" s="24" t="str">
        <f>IF(COUNT(G19:I19)&lt;1,"",IF(SUM(IF(G19&gt;G18,1,0),IF(H19&gt;H18,1,0),IF(I19&gt;I18,1,0))&gt;2,"??",SUM(IF(G19&gt;G18,1,0),IF(H19&gt;H18,1,0),IF(I19&gt;I18,1,0))))</f>
        <v/>
      </c>
      <c r="G19" s="147"/>
      <c r="H19" s="148"/>
      <c r="I19" s="149"/>
      <c r="J19" s="417"/>
      <c r="K19" s="416" t="str">
        <f>IF(K9="","",K9)</f>
        <v>I Folgado/C Aragonês (Alentejo)</v>
      </c>
      <c r="L19" s="416"/>
      <c r="M19" s="24" t="str">
        <f>IF(COUNT(N19:P19)&lt;1,"",IF(SUM(IF(N19&gt;N18,1,0),IF(O19&gt;O18,1,0),IF(P19&gt;P18,1,0))&gt;2,"??",SUM(IF(N19&gt;N18,1,0),IF(O19&gt;O18,1,0),IF(P19&gt;P18,1,0))))</f>
        <v/>
      </c>
      <c r="N19" s="147"/>
      <c r="O19" s="148"/>
      <c r="P19" s="149"/>
      <c r="Q19" s="417"/>
      <c r="R19" s="416" t="str">
        <f>IF(R9="","",R9)</f>
        <v>A Rodrigues/R Pinto (Lisboa)</v>
      </c>
      <c r="S19" s="416"/>
      <c r="T19" s="24" t="str">
        <f>IF(COUNT(U19:W19)&lt;1,"",IF(SUM(IF(U19&gt;U18,1,0),IF(V19&gt;V18,1,0),IF(W19&gt;W18,1,0))&gt;2,"??",SUM(IF(U19&gt;U18,1,0),IF(V19&gt;V18,1,0),IF(W19&gt;W18,1,0))))</f>
        <v/>
      </c>
      <c r="U19" s="147"/>
      <c r="V19" s="148"/>
      <c r="W19" s="149"/>
      <c r="X19" s="417"/>
      <c r="Y19" s="416" t="str">
        <f>IF(Y9="","",Y9)</f>
        <v/>
      </c>
      <c r="Z19" s="416"/>
      <c r="AA19" s="24" t="str">
        <f>IF(COUNT(AB19:AD19)&lt;1,"",IF(SUM(IF(AB19&gt;AB18,1,0),IF(AC19&gt;AC18,1,0),IF(AD19&gt;AD18,1,0))&gt;2,"??",SUM(IF(AB19&gt;AB18,1,0),IF(AC19&gt;AC18,1,0),IF(AD19&gt;AD18,1,0))))</f>
        <v/>
      </c>
      <c r="AB19" s="147"/>
      <c r="AC19" s="148"/>
      <c r="AD19" s="149"/>
      <c r="AE19" s="427"/>
      <c r="AG19" s="109">
        <f>$C$22</f>
        <v>10</v>
      </c>
      <c r="AH19" s="161"/>
      <c r="AI19" s="109">
        <f>$H$35</f>
        <v>26</v>
      </c>
      <c r="AJ19" s="161"/>
      <c r="AK19" s="130">
        <f>$W$74</f>
        <v>40</v>
      </c>
      <c r="AL19" s="163"/>
      <c r="AN19" s="197">
        <f>IF($J16="","",$J16)</f>
        <v>3</v>
      </c>
      <c r="AO19" s="198" t="str">
        <f>IF($J$5="","",$J$5)</f>
        <v>Grupo B</v>
      </c>
      <c r="AP19" s="361" t="str">
        <f>IF($K$16="","",$K$16)</f>
        <v>A Nunes/S Barros (Norte)</v>
      </c>
      <c r="AQ19" s="362" t="str">
        <f t="shared" si="0"/>
        <v>Grupo A</v>
      </c>
      <c r="AR19" s="362" t="str">
        <f t="shared" si="0"/>
        <v>Grupo A</v>
      </c>
      <c r="AS19" s="363" t="str">
        <f t="shared" si="0"/>
        <v>Grupo A</v>
      </c>
      <c r="AT19" s="199" t="str">
        <f>IF(COUNT($M$16:$M$17)&lt;2,"",IF($M$16&gt;$M$17,"V",IF($M$16&lt;$M$17,"D","Empate??")))</f>
        <v/>
      </c>
      <c r="AU19" s="200" t="str">
        <f>IF(COUNT($M$16:$M$17)&lt;2,"",$M$16)</f>
        <v/>
      </c>
      <c r="AV19" s="201" t="str">
        <f>IF(COUNT($M$16:$M$17)&lt;2,"",$M$17)</f>
        <v/>
      </c>
      <c r="AW19" s="202" t="str">
        <f t="shared" si="3"/>
        <v/>
      </c>
      <c r="AX19" s="201" t="str">
        <f>IF(COUNT($M$16:$M$17)&lt;2,"",SUM($N$16:$P$16))</f>
        <v/>
      </c>
      <c r="AY19" s="203" t="str">
        <f>IF(COUNT($M$16:$M$17)&lt;2,"",SUM($N$17:$P$17))</f>
        <v/>
      </c>
      <c r="AZ19" s="204" t="str">
        <f t="shared" si="2"/>
        <v/>
      </c>
    </row>
    <row r="20" spans="2:52" ht="15" customHeight="1" thickTop="1" thickBot="1">
      <c r="B20" s="126"/>
      <c r="C20" s="413">
        <v>9</v>
      </c>
      <c r="D20" s="415" t="str">
        <f>IF(D10="","",D10)</f>
        <v/>
      </c>
      <c r="E20" s="415"/>
      <c r="F20" s="25" t="str">
        <f>IF(COUNT(G20:I20)&lt;1,"",IF(SUM(IF(G20&gt;G21,1,0),IF(H20&gt;H21,1,0),IF(I20&gt;I21,1,0))&gt;2,"??",SUM(IF(G20&gt;G21,1,0),IF(H20&gt;H21,1,0),IF(I20&gt;I21,1,0))))</f>
        <v/>
      </c>
      <c r="G20" s="150"/>
      <c r="H20" s="151"/>
      <c r="I20" s="152"/>
      <c r="J20" s="413">
        <v>11</v>
      </c>
      <c r="K20" s="415" t="str">
        <f>IF(K10="","",K10)</f>
        <v/>
      </c>
      <c r="L20" s="415"/>
      <c r="M20" s="25" t="str">
        <f>IF(COUNT(N20:P20)&lt;1,"",IF(SUM(IF(N20&gt;N21,1,0),IF(O20&gt;O21,1,0),IF(P20&gt;P21,1,0))&gt;2,"??",SUM(IF(N20&gt;N21,1,0),IF(O20&gt;O21,1,0),IF(P20&gt;P21,1,0))))</f>
        <v/>
      </c>
      <c r="N20" s="150"/>
      <c r="O20" s="151"/>
      <c r="P20" s="152"/>
      <c r="Q20" s="413">
        <v>13</v>
      </c>
      <c r="R20" s="415" t="str">
        <f>IF(R10="","",R10)</f>
        <v/>
      </c>
      <c r="S20" s="415"/>
      <c r="T20" s="25" t="str">
        <f>IF(COUNT(U20:W20)&lt;1,"",IF(SUM(IF(U20&gt;U21,1,0),IF(V20&gt;V21,1,0),IF(W20&gt;W21,1,0))&gt;2,"??",SUM(IF(U20&gt;U21,1,0),IF(V20&gt;V21,1,0),IF(W20&gt;W21,1,0))))</f>
        <v/>
      </c>
      <c r="U20" s="150"/>
      <c r="V20" s="151"/>
      <c r="W20" s="152"/>
      <c r="X20" s="413">
        <v>15</v>
      </c>
      <c r="Y20" s="415" t="str">
        <f>IF(Y10="","",Y10)</f>
        <v/>
      </c>
      <c r="Z20" s="415"/>
      <c r="AA20" s="25" t="str">
        <f>IF(COUNT(AB20:AD20)&lt;1,"",IF(SUM(IF(AB20&gt;AB21,1,0),IF(AC20&gt;AC21,1,0),IF(AD20&gt;AD21,1,0))&gt;2,"??",SUM(IF(AB20&gt;AB21,1,0),IF(AC20&gt;AC21,1,0),IF(AD20&gt;AD21,1,0))))</f>
        <v/>
      </c>
      <c r="AB20" s="150"/>
      <c r="AC20" s="151"/>
      <c r="AD20" s="152"/>
      <c r="AE20" s="418" t="s">
        <v>45</v>
      </c>
      <c r="AG20" s="109">
        <f>$J$20</f>
        <v>11</v>
      </c>
      <c r="AH20" s="161"/>
      <c r="AI20" s="109">
        <f>$H$39</f>
        <v>27</v>
      </c>
      <c r="AJ20" s="161"/>
      <c r="AK20" s="421" t="s">
        <v>236</v>
      </c>
      <c r="AL20" s="422"/>
      <c r="AN20" s="205">
        <f>IF($J16="","",$J16)</f>
        <v>3</v>
      </c>
      <c r="AO20" s="206" t="str">
        <f t="shared" ref="AO20:AO30" si="4">IF($J$5="","",$J$5)</f>
        <v>Grupo B</v>
      </c>
      <c r="AP20" s="346" t="str">
        <f>IF($K$17="","",$K$17)</f>
        <v/>
      </c>
      <c r="AQ20" s="347" t="str">
        <f t="shared" si="0"/>
        <v>Grupo A</v>
      </c>
      <c r="AR20" s="347" t="str">
        <f t="shared" si="0"/>
        <v>Grupo A</v>
      </c>
      <c r="AS20" s="348" t="str">
        <f t="shared" si="0"/>
        <v>Grupo A</v>
      </c>
      <c r="AT20" s="207" t="str">
        <f>IF(COUNT($M$16:$M$17)&lt;2,"",IF($M$16&lt;$M$17,"V",IF($M$16&gt;$M$17,"D","Empate??")))</f>
        <v/>
      </c>
      <c r="AU20" s="208" t="str">
        <f>IF(COUNT($M$16:$M$17)&lt;2,"",$M$17)</f>
        <v/>
      </c>
      <c r="AV20" s="209" t="str">
        <f>IF(COUNT($M$16:$M$17)&lt;2,"",$M$16)</f>
        <v/>
      </c>
      <c r="AW20" s="210" t="str">
        <f t="shared" si="3"/>
        <v/>
      </c>
      <c r="AX20" s="209" t="str">
        <f>IF(COUNT($M$16:$M$17)&lt;2,"",SUM($N$17:$P$17))</f>
        <v/>
      </c>
      <c r="AY20" s="211" t="str">
        <f>IF(COUNT($M$16:$M$17)&lt;2,"",SUM($N$16:$P$16))</f>
        <v/>
      </c>
      <c r="AZ20" s="212" t="str">
        <f t="shared" si="2"/>
        <v/>
      </c>
    </row>
    <row r="21" spans="2:52" ht="15" customHeight="1">
      <c r="B21" s="126"/>
      <c r="C21" s="414"/>
      <c r="D21" s="409" t="str">
        <f>IF(D9="","",D9)</f>
        <v>A Pereira/B Pereira (Norte)</v>
      </c>
      <c r="E21" s="409"/>
      <c r="F21" s="26" t="str">
        <f>IF(COUNT(G21:I21)&lt;1,"",IF(SUM(IF(G21&gt;G20,1,0),IF(H21&gt;H20,1,0),IF(I21&gt;I20,1,0))&gt;2,"??",SUM(IF(G21&gt;G20,1,0),IF(H21&gt;H20,1,0),IF(I21&gt;I20,1,0))))</f>
        <v/>
      </c>
      <c r="G21" s="141"/>
      <c r="H21" s="142"/>
      <c r="I21" s="143"/>
      <c r="J21" s="414"/>
      <c r="K21" s="409" t="str">
        <f>IF(K9="","",K9)</f>
        <v>I Folgado/C Aragonês (Alentejo)</v>
      </c>
      <c r="L21" s="409"/>
      <c r="M21" s="26" t="str">
        <f>IF(COUNT(N21:P21)&lt;1,"",IF(SUM(IF(N21&gt;N20,1,0),IF(O21&gt;O20,1,0),IF(P21&gt;P20,1,0))&gt;2,"??",SUM(IF(N21&gt;N20,1,0),IF(O21&gt;O20,1,0),IF(P21&gt;P20,1,0))))</f>
        <v/>
      </c>
      <c r="N21" s="141"/>
      <c r="O21" s="142"/>
      <c r="P21" s="143"/>
      <c r="Q21" s="414"/>
      <c r="R21" s="409" t="str">
        <f>IF(R9="","",R9)</f>
        <v>A Rodrigues/R Pinto (Lisboa)</v>
      </c>
      <c r="S21" s="409"/>
      <c r="T21" s="26" t="str">
        <f>IF(COUNT(U21:W21)&lt;1,"",IF(SUM(IF(U21&gt;U20,1,0),IF(V21&gt;V20,1,0),IF(W21&gt;W20,1,0))&gt;2,"??",SUM(IF(U21&gt;U20,1,0),IF(V21&gt;V20,1,0),IF(W21&gt;W20,1,0))))</f>
        <v/>
      </c>
      <c r="U21" s="141"/>
      <c r="V21" s="142"/>
      <c r="W21" s="143"/>
      <c r="X21" s="414"/>
      <c r="Y21" s="409" t="str">
        <f>IF(Y9="","",Y9)</f>
        <v/>
      </c>
      <c r="Z21" s="409"/>
      <c r="AA21" s="26" t="str">
        <f>IF(COUNT(AB21:AD21)&lt;1,"",IF(SUM(IF(AB21&gt;AB20,1,0),IF(AC21&gt;AC20,1,0),IF(AD21&gt;AD20,1,0))&gt;2,"??",SUM(IF(AB21&gt;AB20,1,0),IF(AC21&gt;AC20,1,0),IF(AD21&gt;AD20,1,0))))</f>
        <v/>
      </c>
      <c r="AB21" s="141"/>
      <c r="AC21" s="142"/>
      <c r="AD21" s="143"/>
      <c r="AE21" s="419"/>
      <c r="AG21" s="109">
        <f>$J$22</f>
        <v>12</v>
      </c>
      <c r="AH21" s="161"/>
      <c r="AI21" s="109">
        <f>$H$43</f>
        <v>28</v>
      </c>
      <c r="AJ21" s="161"/>
      <c r="AK21" s="159">
        <f>$O$88</f>
        <v>41</v>
      </c>
      <c r="AL21" s="160"/>
      <c r="AN21" s="213">
        <f>IF($J18="","",$J18)</f>
        <v>4</v>
      </c>
      <c r="AO21" s="214" t="str">
        <f t="shared" si="4"/>
        <v>Grupo B</v>
      </c>
      <c r="AP21" s="349" t="str">
        <f>IF($K$18="","",$K$18)</f>
        <v>S Anica/S Anica (Lisboa)</v>
      </c>
      <c r="AQ21" s="350" t="str">
        <f t="shared" si="0"/>
        <v>Grupo A</v>
      </c>
      <c r="AR21" s="350" t="str">
        <f t="shared" si="0"/>
        <v>Grupo A</v>
      </c>
      <c r="AS21" s="351" t="str">
        <f t="shared" si="0"/>
        <v>Grupo A</v>
      </c>
      <c r="AT21" s="215" t="str">
        <f>IF(COUNT($M$18:$M$19)&lt;2,"",IF($M$18&gt;$M$19,"V",IF($M$18&lt;$M$19,"D","Empate??")))</f>
        <v/>
      </c>
      <c r="AU21" s="216" t="str">
        <f>IF(COUNT($M$18:$M$19)&lt;2,"",$M$18)</f>
        <v/>
      </c>
      <c r="AV21" s="217" t="str">
        <f>IF(COUNT($M$18:$M$19)&lt;2,"",$M$19)</f>
        <v/>
      </c>
      <c r="AW21" s="218" t="str">
        <f t="shared" si="3"/>
        <v/>
      </c>
      <c r="AX21" s="217" t="str">
        <f>IF(COUNT($M$18:$M$19)&lt;2,"",SUM($N$18:$P$18))</f>
        <v/>
      </c>
      <c r="AY21" s="219" t="str">
        <f>IF(COUNT($M$18:$M$19)&lt;2,"",SUM($N$19:$P$19))</f>
        <v/>
      </c>
      <c r="AZ21" s="220" t="str">
        <f t="shared" si="2"/>
        <v/>
      </c>
    </row>
    <row r="22" spans="2:52" ht="15" customHeight="1">
      <c r="B22" s="126"/>
      <c r="C22" s="410">
        <v>10</v>
      </c>
      <c r="D22" s="391" t="str">
        <f>IF(D7="","",D7)</f>
        <v>M Henriques/M Afonso (Lisboa)</v>
      </c>
      <c r="E22" s="391"/>
      <c r="F22" s="27" t="str">
        <f>IF(COUNT(G22:I22)&lt;1,"",IF(SUM(IF(G22&gt;G23,1,0),IF(H22&gt;H23,1,0),IF(I22&gt;I23,1,0))&gt;2,"??",SUM(IF(G22&gt;G23,1,0),IF(H22&gt;H23,1,0),IF(I22&gt;I23,1,0))))</f>
        <v/>
      </c>
      <c r="G22" s="144"/>
      <c r="H22" s="145"/>
      <c r="I22" s="146"/>
      <c r="J22" s="410">
        <v>12</v>
      </c>
      <c r="K22" s="391" t="str">
        <f>IF(K7="","",K7)</f>
        <v>A Nunes/S Barros (Norte)</v>
      </c>
      <c r="L22" s="391"/>
      <c r="M22" s="27" t="str">
        <f>IF(COUNT(N22:P22)&lt;1,"",IF(SUM(IF(N22&gt;N23,1,0),IF(O22&gt;O23,1,0),IF(P22&gt;P23,1,0))&gt;2,"??",SUM(IF(N22&gt;N23,1,0),IF(O22&gt;O23,1,0),IF(P22&gt;P23,1,0))))</f>
        <v/>
      </c>
      <c r="N22" s="144"/>
      <c r="O22" s="145"/>
      <c r="P22" s="146"/>
      <c r="Q22" s="410">
        <v>14</v>
      </c>
      <c r="R22" s="391" t="str">
        <f>IF(R7="","",R7)</f>
        <v>D Pereira/M Conceição (Centro)</v>
      </c>
      <c r="S22" s="391"/>
      <c r="T22" s="27" t="str">
        <f>IF(COUNT(U22:W22)&lt;1,"",IF(SUM(IF(U22&gt;U23,1,0),IF(V22&gt;V23,1,0),IF(W22&gt;W23,1,0))&gt;2,"??",SUM(IF(U22&gt;U23,1,0),IF(V22&gt;V23,1,0),IF(W22&gt;W23,1,0))))</f>
        <v/>
      </c>
      <c r="U22" s="144"/>
      <c r="V22" s="145"/>
      <c r="W22" s="146"/>
      <c r="X22" s="410">
        <v>16</v>
      </c>
      <c r="Y22" s="391" t="str">
        <f>IF(Y7="","",Y7)</f>
        <v>C Abreu/M Marques (Lisboa)</v>
      </c>
      <c r="Z22" s="391"/>
      <c r="AA22" s="27" t="str">
        <f>IF(COUNT(AB22:AD22)&lt;1,"",IF(SUM(IF(AB22&gt;AB23,1,0),IF(AC22&gt;AC23,1,0),IF(AD22&gt;AD23,1,0))&gt;2,"??",SUM(IF(AB22&gt;AB23,1,0),IF(AC22&gt;AC23,1,0),IF(AD22&gt;AD23,1,0))))</f>
        <v/>
      </c>
      <c r="AB22" s="144"/>
      <c r="AC22" s="145"/>
      <c r="AD22" s="146"/>
      <c r="AE22" s="419"/>
      <c r="AG22" s="109">
        <f>$Q$20</f>
        <v>13</v>
      </c>
      <c r="AH22" s="161"/>
      <c r="AI22" s="109">
        <f>$O$33</f>
        <v>29</v>
      </c>
      <c r="AJ22" s="161"/>
      <c r="AK22" s="109">
        <f>$O$96</f>
        <v>42</v>
      </c>
      <c r="AL22" s="161"/>
      <c r="AN22" s="205">
        <f>IF($J18="","",$J18)</f>
        <v>4</v>
      </c>
      <c r="AO22" s="206" t="str">
        <f t="shared" si="4"/>
        <v>Grupo B</v>
      </c>
      <c r="AP22" s="346" t="str">
        <f>IF($K$19="","",$K$19)</f>
        <v>I Folgado/C Aragonês (Alentejo)</v>
      </c>
      <c r="AQ22" s="347" t="str">
        <f t="shared" si="0"/>
        <v>Grupo A</v>
      </c>
      <c r="AR22" s="347" t="str">
        <f t="shared" si="0"/>
        <v>Grupo A</v>
      </c>
      <c r="AS22" s="348" t="str">
        <f t="shared" si="0"/>
        <v>Grupo A</v>
      </c>
      <c r="AT22" s="207" t="str">
        <f>IF(COUNT($M$18:$M$19)&lt;2,"",IF($M$18&lt;$M$19,"V",IF($M$18&gt;$M$19,"D","Empate??")))</f>
        <v/>
      </c>
      <c r="AU22" s="208" t="str">
        <f>IF(COUNT($M$18:$M$19)&lt;2,"",$M$19)</f>
        <v/>
      </c>
      <c r="AV22" s="209" t="str">
        <f>IF(COUNT($M$18:$M$19)&lt;2,"",$M$18)</f>
        <v/>
      </c>
      <c r="AW22" s="210" t="str">
        <f t="shared" si="3"/>
        <v/>
      </c>
      <c r="AX22" s="209" t="str">
        <f>IF(COUNT($M$18:$M$19)&lt;2,"",SUM($N$19:$P$19))</f>
        <v/>
      </c>
      <c r="AY22" s="211" t="str">
        <f>IF(COUNT($M$18:$M$19)&lt;2,"",SUM($N$18:$P$18))</f>
        <v/>
      </c>
      <c r="AZ22" s="212" t="str">
        <f t="shared" si="2"/>
        <v/>
      </c>
    </row>
    <row r="23" spans="2:52" ht="15" customHeight="1" thickBot="1">
      <c r="B23" s="126"/>
      <c r="C23" s="411"/>
      <c r="D23" s="412" t="str">
        <f>IF(D8="","",D8)</f>
        <v>A Costa/M Gomes (Centro)</v>
      </c>
      <c r="E23" s="412"/>
      <c r="F23" s="28" t="str">
        <f>IF(COUNT(G23:I23)&lt;1,"",IF(SUM(IF(G23&gt;G22,1,0),IF(H23&gt;H22,1,0),IF(I23&gt;I22,1,0))&gt;2,"??",SUM(IF(G23&gt;G22,1,0),IF(H23&gt;H22,1,0),IF(I23&gt;I22,1,0))))</f>
        <v/>
      </c>
      <c r="G23" s="153"/>
      <c r="H23" s="154"/>
      <c r="I23" s="155"/>
      <c r="J23" s="411"/>
      <c r="K23" s="412" t="str">
        <f>IF(K8="","",K8)</f>
        <v>S Anica/S Anica (Lisboa)</v>
      </c>
      <c r="L23" s="412"/>
      <c r="M23" s="28" t="str">
        <f>IF(COUNT(N23:P23)&lt;1,"",IF(SUM(IF(N23&gt;N22,1,0),IF(O23&gt;O22,1,0),IF(P23&gt;P22,1,0))&gt;2,"??",SUM(IF(N23&gt;N22,1,0),IF(O23&gt;O22,1,0),IF(P23&gt;P22,1,0))))</f>
        <v/>
      </c>
      <c r="N23" s="153"/>
      <c r="O23" s="154"/>
      <c r="P23" s="155"/>
      <c r="Q23" s="411"/>
      <c r="R23" s="412" t="str">
        <f>IF(R8="","",R8)</f>
        <v>A Vitó/M Neves (Norte)</v>
      </c>
      <c r="S23" s="412"/>
      <c r="T23" s="28" t="str">
        <f>IF(COUNT(U23:W23)&lt;1,"",IF(SUM(IF(U23&gt;U22,1,0),IF(V23&gt;V22,1,0),IF(W23&gt;W22,1,0))&gt;2,"??",SUM(IF(U23&gt;U22,1,0),IF(V23&gt;V22,1,0),IF(W23&gt;W22,1,0))))</f>
        <v/>
      </c>
      <c r="U23" s="153"/>
      <c r="V23" s="154"/>
      <c r="W23" s="155"/>
      <c r="X23" s="411"/>
      <c r="Y23" s="412" t="str">
        <f>IF(Y8="","",Y8)</f>
        <v>G Mouteira/M Maia (Norte)</v>
      </c>
      <c r="Z23" s="412"/>
      <c r="AA23" s="28" t="str">
        <f>IF(COUNT(AB23:AD23)&lt;1,"",IF(SUM(IF(AB23&gt;AB22,1,0),IF(AC23&gt;AC22,1,0),IF(AD23&gt;AD22,1,0))&gt;2,"??",SUM(IF(AB23&gt;AB22,1,0),IF(AC23&gt;AC22,1,0),IF(AD23&gt;AD22,1,0))))</f>
        <v/>
      </c>
      <c r="AB23" s="153"/>
      <c r="AC23" s="154"/>
      <c r="AD23" s="155"/>
      <c r="AE23" s="420"/>
      <c r="AG23" s="109">
        <f>$Q$22</f>
        <v>14</v>
      </c>
      <c r="AH23" s="161"/>
      <c r="AI23" s="109">
        <f>$O$41</f>
        <v>30</v>
      </c>
      <c r="AJ23" s="161"/>
      <c r="AK23" s="109">
        <f>$V$92</f>
        <v>43</v>
      </c>
      <c r="AL23" s="161"/>
      <c r="AN23" s="221">
        <f>IF($J20="","",$J20)</f>
        <v>11</v>
      </c>
      <c r="AO23" s="222" t="str">
        <f t="shared" si="4"/>
        <v>Grupo B</v>
      </c>
      <c r="AP23" s="349" t="str">
        <f>IF($K$20="","",$K$20)</f>
        <v/>
      </c>
      <c r="AQ23" s="350" t="str">
        <f t="shared" ref="AQ23:AS38" si="5">IF($C$5="","",$C$5)</f>
        <v>Grupo A</v>
      </c>
      <c r="AR23" s="350" t="str">
        <f t="shared" si="5"/>
        <v>Grupo A</v>
      </c>
      <c r="AS23" s="351" t="str">
        <f t="shared" si="5"/>
        <v>Grupo A</v>
      </c>
      <c r="AT23" s="223" t="str">
        <f>IF(COUNT($M$20:$M$21)&lt;2,"",IF($M$20&gt;$M$21,"V",IF($M$20&lt;$M$21,"D","Empate??")))</f>
        <v/>
      </c>
      <c r="AU23" s="224" t="str">
        <f>IF(COUNT($M$20:$M$21)&lt;2,"",$M$20)</f>
        <v/>
      </c>
      <c r="AV23" s="225" t="str">
        <f>IF(COUNT($M$20:$M$21)&lt;2,"",$M$21)</f>
        <v/>
      </c>
      <c r="AW23" s="226" t="str">
        <f t="shared" si="3"/>
        <v/>
      </c>
      <c r="AX23" s="225" t="str">
        <f>IF(COUNT($M$20:$M$21)&lt;2,"",SUM($N$20:$P$20))</f>
        <v/>
      </c>
      <c r="AY23" s="227" t="str">
        <f>IF(COUNT($M$20:$M$21)&lt;2,"",SUM($N$21:$P$21))</f>
        <v/>
      </c>
      <c r="AZ23" s="228" t="str">
        <f t="shared" si="2"/>
        <v/>
      </c>
    </row>
    <row r="24" spans="2:52" ht="15" customHeight="1" thickTop="1" thickBot="1">
      <c r="B24" s="126"/>
      <c r="C24" s="392">
        <v>17</v>
      </c>
      <c r="D24" s="394" t="str">
        <f>IF(D8="","",D8)</f>
        <v>A Costa/M Gomes (Centro)</v>
      </c>
      <c r="E24" s="394"/>
      <c r="F24" s="22" t="str">
        <f>IF(COUNT(G24:I24)&lt;1,"",IF(SUM(IF(G24&gt;G25,1,0),IF(H24&gt;H25,1,0),IF(I24&gt;I25,1,0))&gt;2,"??",SUM(IF(G24&gt;G25,1,0),IF(H24&gt;H25,1,0),IF(I24&gt;I25,1,0))))</f>
        <v/>
      </c>
      <c r="G24" s="141"/>
      <c r="H24" s="142"/>
      <c r="I24" s="143"/>
      <c r="J24" s="392">
        <v>19</v>
      </c>
      <c r="K24" s="394" t="str">
        <f>IF(K8="","",K8)</f>
        <v>S Anica/S Anica (Lisboa)</v>
      </c>
      <c r="L24" s="394"/>
      <c r="M24" s="22" t="str">
        <f>IF(COUNT(N24:P24)&lt;1,"",IF(SUM(IF(N24&gt;N25,1,0),IF(O24&gt;O25,1,0),IF(P24&gt;P25,1,0))&gt;2,"??",SUM(IF(N24&gt;N25,1,0),IF(O24&gt;O25,1,0),IF(P24&gt;P25,1,0))))</f>
        <v/>
      </c>
      <c r="N24" s="141"/>
      <c r="O24" s="142"/>
      <c r="P24" s="143"/>
      <c r="Q24" s="392">
        <v>21</v>
      </c>
      <c r="R24" s="394" t="str">
        <f>IF(R8="","",R8)</f>
        <v>A Vitó/M Neves (Norte)</v>
      </c>
      <c r="S24" s="394"/>
      <c r="T24" s="22" t="str">
        <f>IF(COUNT(U24:W24)&lt;1,"",IF(SUM(IF(U24&gt;U25,1,0),IF(V24&gt;V25,1,0),IF(W24&gt;W25,1,0))&gt;2,"??",SUM(IF(U24&gt;U25,1,0),IF(V24&gt;V25,1,0),IF(W24&gt;W25,1,0))))</f>
        <v/>
      </c>
      <c r="U24" s="141"/>
      <c r="V24" s="142"/>
      <c r="W24" s="143"/>
      <c r="X24" s="392">
        <v>23</v>
      </c>
      <c r="Y24" s="394" t="str">
        <f>IF(Y8="","",Y8)</f>
        <v>G Mouteira/M Maia (Norte)</v>
      </c>
      <c r="Z24" s="394"/>
      <c r="AA24" s="22" t="str">
        <f>IF(COUNT(AB24:AD24)&lt;1,"",IF(SUM(IF(AB24&gt;AB25,1,0),IF(AC24&gt;AC25,1,0),IF(AD24&gt;AD25,1,0))&gt;2,"??",SUM(IF(AB24&gt;AB25,1,0),IF(AC24&gt;AC25,1,0),IF(AD24&gt;AD25,1,0))))</f>
        <v/>
      </c>
      <c r="AB24" s="141"/>
      <c r="AC24" s="142"/>
      <c r="AD24" s="143"/>
      <c r="AE24" s="395" t="s">
        <v>46</v>
      </c>
      <c r="AG24" s="109">
        <f>$X$20</f>
        <v>15</v>
      </c>
      <c r="AH24" s="161"/>
      <c r="AI24" s="109">
        <f>$V$37</f>
        <v>31</v>
      </c>
      <c r="AJ24" s="161"/>
      <c r="AK24" s="130">
        <f>$W$92</f>
        <v>44</v>
      </c>
      <c r="AL24" s="163"/>
      <c r="AN24" s="205">
        <f>IF($J20="","",$J20)</f>
        <v>11</v>
      </c>
      <c r="AO24" s="206" t="str">
        <f t="shared" si="4"/>
        <v>Grupo B</v>
      </c>
      <c r="AP24" s="346" t="str">
        <f>IF($K$21="","",$K$21)</f>
        <v>I Folgado/C Aragonês (Alentejo)</v>
      </c>
      <c r="AQ24" s="347" t="str">
        <f t="shared" si="5"/>
        <v>Grupo A</v>
      </c>
      <c r="AR24" s="347" t="str">
        <f t="shared" si="5"/>
        <v>Grupo A</v>
      </c>
      <c r="AS24" s="348" t="str">
        <f t="shared" si="5"/>
        <v>Grupo A</v>
      </c>
      <c r="AT24" s="207" t="str">
        <f>IF(COUNT($M$20:$M$21)&lt;2,"",IF($M$20&lt;$M$21,"V",IF($M$20&gt;$M$21,"D","Empate??")))</f>
        <v/>
      </c>
      <c r="AU24" s="208" t="str">
        <f>IF(COUNT($M$20:$M$21)&lt;2,"",$M$21)</f>
        <v/>
      </c>
      <c r="AV24" s="209" t="str">
        <f>IF(COUNT($M$20:$M$21)&lt;2,"",$M$20)</f>
        <v/>
      </c>
      <c r="AW24" s="210" t="str">
        <f t="shared" si="3"/>
        <v/>
      </c>
      <c r="AX24" s="209" t="str">
        <f>IF(COUNT($M$20:$M$21)&lt;2,"",SUM($N$21:$P$21))</f>
        <v/>
      </c>
      <c r="AY24" s="211" t="str">
        <f>IF(COUNT($M$20:$M$21)&lt;2,"",SUM($N$20:$P$20))</f>
        <v/>
      </c>
      <c r="AZ24" s="212" t="str">
        <f t="shared" si="2"/>
        <v/>
      </c>
    </row>
    <row r="25" spans="2:52" ht="15" customHeight="1" thickBot="1">
      <c r="B25" s="126"/>
      <c r="C25" s="393"/>
      <c r="D25" s="398" t="str">
        <f>IF(D10="","",D10)</f>
        <v/>
      </c>
      <c r="E25" s="398"/>
      <c r="F25" s="22" t="str">
        <f>IF(COUNT(G25:I25)&lt;1,"",IF(SUM(IF(G25&gt;G24,1,0),IF(H25&gt;H24,1,0),IF(I25&gt;I24,1,0))&gt;2,"??",SUM(IF(G25&gt;G24,1,0),IF(H25&gt;H24,1,0),IF(I25&gt;I24,1,0))))</f>
        <v/>
      </c>
      <c r="G25" s="141"/>
      <c r="H25" s="142"/>
      <c r="I25" s="143"/>
      <c r="J25" s="393"/>
      <c r="K25" s="398" t="str">
        <f>IF(K10="","",K10)</f>
        <v/>
      </c>
      <c r="L25" s="398"/>
      <c r="M25" s="22" t="str">
        <f>IF(COUNT(N25:P25)&lt;1,"",IF(SUM(IF(N25&gt;N24,1,0),IF(O25&gt;O24,1,0),IF(P25&gt;P24,1,0))&gt;2,"??",SUM(IF(N25&gt;N24,1,0),IF(O25&gt;O24,1,0),IF(P25&gt;P24,1,0))))</f>
        <v/>
      </c>
      <c r="N25" s="141"/>
      <c r="O25" s="142"/>
      <c r="P25" s="143"/>
      <c r="Q25" s="393"/>
      <c r="R25" s="398" t="str">
        <f>IF(R10="","",R10)</f>
        <v/>
      </c>
      <c r="S25" s="398"/>
      <c r="T25" s="22" t="str">
        <f>IF(COUNT(U25:W25)&lt;1,"",IF(SUM(IF(U25&gt;U24,1,0),IF(V25&gt;V24,1,0),IF(W25&gt;W24,1,0))&gt;2,"??",SUM(IF(U25&gt;U24,1,0),IF(V25&gt;V24,1,0),IF(W25&gt;W24,1,0))))</f>
        <v/>
      </c>
      <c r="U25" s="141"/>
      <c r="V25" s="142"/>
      <c r="W25" s="143"/>
      <c r="X25" s="393"/>
      <c r="Y25" s="398" t="str">
        <f>IF(Y10="","",Y10)</f>
        <v/>
      </c>
      <c r="Z25" s="398"/>
      <c r="AA25" s="22" t="str">
        <f>IF(COUNT(AB25:AD25)&lt;1,"",IF(SUM(IF(AB25&gt;AB24,1,0),IF(AC25&gt;AC24,1,0),IF(AD25&gt;AD24,1,0))&gt;2,"??",SUM(IF(AB25&gt;AB24,1,0),IF(AC25&gt;AC24,1,0),IF(AD25&gt;AD24,1,0))))</f>
        <v/>
      </c>
      <c r="AB25" s="141"/>
      <c r="AC25" s="142"/>
      <c r="AD25" s="143"/>
      <c r="AE25" s="396"/>
      <c r="AG25" s="130">
        <f>$X$22</f>
        <v>16</v>
      </c>
      <c r="AH25" s="163"/>
      <c r="AI25" s="130">
        <f>$W$37</f>
        <v>32</v>
      </c>
      <c r="AJ25" s="163"/>
      <c r="AK25" s="159"/>
      <c r="AL25" s="293"/>
      <c r="AN25" s="221">
        <f>IF($J22="","",$J22)</f>
        <v>12</v>
      </c>
      <c r="AO25" s="222" t="str">
        <f t="shared" si="4"/>
        <v>Grupo B</v>
      </c>
      <c r="AP25" s="349" t="str">
        <f>IF($K$22="","",$K$22)</f>
        <v>A Nunes/S Barros (Norte)</v>
      </c>
      <c r="AQ25" s="350" t="str">
        <f t="shared" si="5"/>
        <v>Grupo A</v>
      </c>
      <c r="AR25" s="350" t="str">
        <f t="shared" si="5"/>
        <v>Grupo A</v>
      </c>
      <c r="AS25" s="351" t="str">
        <f t="shared" si="5"/>
        <v>Grupo A</v>
      </c>
      <c r="AT25" s="223" t="str">
        <f>IF(COUNT($M$22:$M$23)&lt;2,"",IF($M$22&gt;$M$23,"V",IF($M$22&lt;$M$23,"D","Empate??")))</f>
        <v/>
      </c>
      <c r="AU25" s="224" t="str">
        <f>IF(COUNT($M$22:$M$23)&lt;2,"",$M$22)</f>
        <v/>
      </c>
      <c r="AV25" s="225" t="str">
        <f>IF(COUNT($M$22:$M$23)&lt;2,"",$M$23)</f>
        <v/>
      </c>
      <c r="AW25" s="226" t="str">
        <f t="shared" si="3"/>
        <v/>
      </c>
      <c r="AX25" s="225" t="str">
        <f>IF(COUNT($M$22:$M$23)&lt;2,"",SUM($N$22:$P$22))</f>
        <v/>
      </c>
      <c r="AY25" s="227" t="str">
        <f>IF(COUNT($M$22:$M$23)&lt;2,"",SUM($N$23:$P$23))</f>
        <v/>
      </c>
      <c r="AZ25" s="228" t="str">
        <f t="shared" si="2"/>
        <v/>
      </c>
    </row>
    <row r="26" spans="2:52" ht="15" customHeight="1" thickBot="1">
      <c r="B26" s="126"/>
      <c r="C26" s="373">
        <v>18</v>
      </c>
      <c r="D26" s="375" t="str">
        <f>IF(D9="","",D9)</f>
        <v>A Pereira/B Pereira (Norte)</v>
      </c>
      <c r="E26" s="375"/>
      <c r="F26" s="23" t="str">
        <f>IF(COUNT(G26:I26)&lt;1,"",IF(SUM(IF(G26&gt;G27,1,0),IF(H26&gt;H27,1,0),IF(I26&gt;I27,1,0))&gt;2,"??",SUM(IF(G26&gt;G27,1,0),IF(H26&gt;H27,1,0),IF(I26&gt;I27,1,0))))</f>
        <v/>
      </c>
      <c r="G26" s="144"/>
      <c r="H26" s="145"/>
      <c r="I26" s="146"/>
      <c r="J26" s="373">
        <v>20</v>
      </c>
      <c r="K26" s="375" t="str">
        <f>IF(K9="","",K9)</f>
        <v>I Folgado/C Aragonês (Alentejo)</v>
      </c>
      <c r="L26" s="375"/>
      <c r="M26" s="23" t="str">
        <f>IF(COUNT(N26:P26)&lt;1,"",IF(SUM(IF(N26&gt;N27,1,0),IF(O26&gt;O27,1,0),IF(P26&gt;P27,1,0))&gt;2,"??",SUM(IF(N26&gt;N27,1,0),IF(O26&gt;O27,1,0),IF(P26&gt;P27,1,0))))</f>
        <v/>
      </c>
      <c r="N26" s="144"/>
      <c r="O26" s="145"/>
      <c r="P26" s="146"/>
      <c r="Q26" s="373">
        <v>22</v>
      </c>
      <c r="R26" s="375" t="str">
        <f>IF(R9="","",R9)</f>
        <v>A Rodrigues/R Pinto (Lisboa)</v>
      </c>
      <c r="S26" s="375"/>
      <c r="T26" s="23" t="str">
        <f>IF(COUNT(U26:W26)&lt;1,"",IF(SUM(IF(U26&gt;U27,1,0),IF(V26&gt;V27,1,0),IF(W26&gt;W27,1,0))&gt;2,"??",SUM(IF(U26&gt;U27,1,0),IF(V26&gt;V27,1,0),IF(W26&gt;W27,1,0))))</f>
        <v/>
      </c>
      <c r="U26" s="144"/>
      <c r="V26" s="145"/>
      <c r="W26" s="146"/>
      <c r="X26" s="373">
        <v>24</v>
      </c>
      <c r="Y26" s="375" t="str">
        <f>IF(Y9="","",Y9)</f>
        <v/>
      </c>
      <c r="Z26" s="375"/>
      <c r="AA26" s="23" t="str">
        <f>IF(COUNT(AB26:AD26)&lt;1,"",IF(SUM(IF(AB26&gt;AB27,1,0),IF(AC26&gt;AC27,1,0),IF(AD26&gt;AD27,1,0))&gt;2,"??",SUM(IF(AB26&gt;AB27,1,0),IF(AC26&gt;AC27,1,0),IF(AD26&gt;AD27,1,0))))</f>
        <v/>
      </c>
      <c r="AB26" s="144"/>
      <c r="AC26" s="145"/>
      <c r="AD26" s="146"/>
      <c r="AE26" s="396"/>
      <c r="AG26" s="399" t="s">
        <v>237</v>
      </c>
      <c r="AH26" s="399"/>
      <c r="AI26" s="399" t="s">
        <v>238</v>
      </c>
      <c r="AJ26" s="399"/>
      <c r="AN26" s="205">
        <f>IF($J22="","",$J22)</f>
        <v>12</v>
      </c>
      <c r="AO26" s="206" t="str">
        <f t="shared" si="4"/>
        <v>Grupo B</v>
      </c>
      <c r="AP26" s="346" t="str">
        <f>IF($K$23="","",$K$23)</f>
        <v>S Anica/S Anica (Lisboa)</v>
      </c>
      <c r="AQ26" s="347" t="str">
        <f t="shared" si="5"/>
        <v>Grupo A</v>
      </c>
      <c r="AR26" s="347" t="str">
        <f t="shared" si="5"/>
        <v>Grupo A</v>
      </c>
      <c r="AS26" s="348" t="str">
        <f t="shared" si="5"/>
        <v>Grupo A</v>
      </c>
      <c r="AT26" s="207" t="str">
        <f>IF(COUNT($M$22:$M$23)&lt;2,"",IF($M$22&lt;$M$23,"V",IF($M$22&gt;$M$23,"D","Empate??")))</f>
        <v/>
      </c>
      <c r="AU26" s="208" t="str">
        <f>IF(COUNT($M$22:$M$23)&lt;2,"",$M$23)</f>
        <v/>
      </c>
      <c r="AV26" s="209" t="str">
        <f>IF(COUNT($M$22:$M$23)&lt;2,"",$M$22)</f>
        <v/>
      </c>
      <c r="AW26" s="210" t="str">
        <f t="shared" si="3"/>
        <v/>
      </c>
      <c r="AX26" s="209" t="str">
        <f>IF(COUNT($M$22:$M$23)&lt;2,"",SUM($N$23:$P$23))</f>
        <v/>
      </c>
      <c r="AY26" s="211" t="str">
        <f>IF(COUNT($M$22:$M$23)&lt;2,"",SUM($N$22:$P$22))</f>
        <v/>
      </c>
      <c r="AZ26" s="212" t="str">
        <f t="shared" si="2"/>
        <v/>
      </c>
    </row>
    <row r="27" spans="2:52" ht="15" customHeight="1" thickBot="1">
      <c r="B27" s="126"/>
      <c r="C27" s="374"/>
      <c r="D27" s="400" t="str">
        <f>IF(D7="","",D7)</f>
        <v>M Henriques/M Afonso (Lisboa)</v>
      </c>
      <c r="E27" s="400"/>
      <c r="F27" s="29" t="str">
        <f>IF(COUNT(G27:I27)&lt;1,"",IF(SUM(IF(G27&gt;G26,1,0),IF(H27&gt;H26,1,0),IF(I27&gt;I26,1,0))&gt;2,"??",SUM(IF(G27&gt;G26,1,0),IF(H27&gt;H26,1,0),IF(I27&gt;I26,1,0))))</f>
        <v/>
      </c>
      <c r="G27" s="156"/>
      <c r="H27" s="157"/>
      <c r="I27" s="158"/>
      <c r="J27" s="374"/>
      <c r="K27" s="400" t="str">
        <f>IF(K7="","",K7)</f>
        <v>A Nunes/S Barros (Norte)</v>
      </c>
      <c r="L27" s="400"/>
      <c r="M27" s="29" t="str">
        <f>IF(COUNT(N27:P27)&lt;1,"",IF(SUM(IF(N27&gt;N26,1,0),IF(O27&gt;O26,1,0),IF(P27&gt;P26,1,0))&gt;2,"??",SUM(IF(N27&gt;N26,1,0),IF(O27&gt;O26,1,0),IF(P27&gt;P26,1,0))))</f>
        <v/>
      </c>
      <c r="N27" s="156"/>
      <c r="O27" s="157"/>
      <c r="P27" s="158"/>
      <c r="Q27" s="374"/>
      <c r="R27" s="400" t="str">
        <f>IF(R7="","",R7)</f>
        <v>D Pereira/M Conceição (Centro)</v>
      </c>
      <c r="S27" s="400"/>
      <c r="T27" s="29" t="str">
        <f>IF(COUNT(U27:W27)&lt;1,"",IF(SUM(IF(U27&gt;U26,1,0),IF(V27&gt;V26,1,0),IF(W27&gt;W26,1,0))&gt;2,"??",SUM(IF(U27&gt;U26,1,0),IF(V27&gt;V26,1,0),IF(W27&gt;W26,1,0))))</f>
        <v/>
      </c>
      <c r="U27" s="156"/>
      <c r="V27" s="157"/>
      <c r="W27" s="158"/>
      <c r="X27" s="374"/>
      <c r="Y27" s="400" t="str">
        <f>IF(Y7="","",Y7)</f>
        <v>C Abreu/M Marques (Lisboa)</v>
      </c>
      <c r="Z27" s="400"/>
      <c r="AA27" s="29" t="str">
        <f>IF(COUNT(AB27:AD27)&lt;1,"",IF(SUM(IF(AB27&gt;AB26,1,0),IF(AC27&gt;AC26,1,0),IF(AD27&gt;AD26,1,0))&gt;2,"??",SUM(IF(AB27&gt;AB26,1,0),IF(AC27&gt;AC26,1,0),IF(AD27&gt;AD26,1,0))))</f>
        <v/>
      </c>
      <c r="AB27" s="156"/>
      <c r="AC27" s="157"/>
      <c r="AD27" s="158"/>
      <c r="AE27" s="397"/>
      <c r="AG27" s="401">
        <v>1</v>
      </c>
      <c r="AH27" s="402"/>
      <c r="AI27" s="405">
        <v>2</v>
      </c>
      <c r="AJ27" s="406"/>
      <c r="AN27" s="221">
        <f>IF($J24="","",$J24)</f>
        <v>19</v>
      </c>
      <c r="AO27" s="222" t="str">
        <f t="shared" si="4"/>
        <v>Grupo B</v>
      </c>
      <c r="AP27" s="349" t="str">
        <f>IF($K$24="","",$K$24)</f>
        <v>S Anica/S Anica (Lisboa)</v>
      </c>
      <c r="AQ27" s="350" t="str">
        <f t="shared" si="5"/>
        <v>Grupo A</v>
      </c>
      <c r="AR27" s="350" t="str">
        <f t="shared" si="5"/>
        <v>Grupo A</v>
      </c>
      <c r="AS27" s="351" t="str">
        <f t="shared" si="5"/>
        <v>Grupo A</v>
      </c>
      <c r="AT27" s="223" t="str">
        <f>IF(COUNT($M$24:$M$25)&lt;2,"",IF($M$24&gt;$M$25,"V",IF($M$24&lt;$M$25,"D","Empate??")))</f>
        <v/>
      </c>
      <c r="AU27" s="224" t="str">
        <f>IF(COUNT($M$24:$M$25)&lt;2,"",$M$24)</f>
        <v/>
      </c>
      <c r="AV27" s="225" t="str">
        <f>IF(COUNT($M$24:$M$25)&lt;2,"",$M$25)</f>
        <v/>
      </c>
      <c r="AW27" s="226" t="str">
        <f t="shared" si="3"/>
        <v/>
      </c>
      <c r="AX27" s="225" t="str">
        <f>IF(COUNT($M$24:$M$25)&lt;2,"",SUM($N$24:$P$24))</f>
        <v/>
      </c>
      <c r="AY27" s="227" t="str">
        <f>IF(COUNT($M$24:$M$25)&lt;2,"",SUM($N$25:$P$25))</f>
        <v/>
      </c>
      <c r="AZ27" s="228" t="str">
        <f t="shared" si="2"/>
        <v/>
      </c>
    </row>
    <row r="28" spans="2:52" ht="15.75" customHeight="1" thickBot="1">
      <c r="B28" s="126"/>
      <c r="C28" s="383" t="s">
        <v>71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0"/>
      <c r="R28" s="31"/>
      <c r="S28" s="32"/>
      <c r="T28" s="33"/>
      <c r="U28" s="32"/>
      <c r="V28" s="32"/>
      <c r="W28" s="32"/>
      <c r="X28" s="30"/>
      <c r="Y28" s="31"/>
      <c r="Z28" s="32"/>
      <c r="AA28" s="33"/>
      <c r="AB28" s="32"/>
      <c r="AC28" s="32"/>
      <c r="AD28" s="32"/>
      <c r="AE28" s="113"/>
      <c r="AG28" s="403"/>
      <c r="AH28" s="404"/>
      <c r="AI28" s="407"/>
      <c r="AJ28" s="408"/>
      <c r="AN28" s="205">
        <f>IF($J24="","",$J24)</f>
        <v>19</v>
      </c>
      <c r="AO28" s="206" t="str">
        <f t="shared" si="4"/>
        <v>Grupo B</v>
      </c>
      <c r="AP28" s="346" t="str">
        <f>IF($K$25="","",$K$25)</f>
        <v/>
      </c>
      <c r="AQ28" s="347" t="str">
        <f t="shared" si="5"/>
        <v>Grupo A</v>
      </c>
      <c r="AR28" s="347" t="str">
        <f t="shared" si="5"/>
        <v>Grupo A</v>
      </c>
      <c r="AS28" s="348" t="str">
        <f t="shared" si="5"/>
        <v>Grupo A</v>
      </c>
      <c r="AT28" s="207" t="str">
        <f>IF(COUNT($M$24:$M$25)&lt;2,"",IF($M$24&lt;$M$25,"V",IF($M$24&gt;$M$25,"D","Empate??")))</f>
        <v/>
      </c>
      <c r="AU28" s="208" t="str">
        <f>IF(COUNT($M$24:$M$25)&lt;2,"",$M$25)</f>
        <v/>
      </c>
      <c r="AV28" s="209" t="str">
        <f>IF(COUNT($M$24:$M$25)&lt;2,"",$M$24)</f>
        <v/>
      </c>
      <c r="AW28" s="210" t="str">
        <f t="shared" si="3"/>
        <v/>
      </c>
      <c r="AX28" s="209" t="str">
        <f>IF(COUNT($M$24:$M$25)&lt;2,"",SUM($N$25:$P$25))</f>
        <v/>
      </c>
      <c r="AY28" s="211" t="str">
        <f>IF(COUNT($M$24:$M$25)&lt;2,"",SUM($N$24:$P$24))</f>
        <v/>
      </c>
      <c r="AZ28" s="212" t="str">
        <f t="shared" si="2"/>
        <v/>
      </c>
    </row>
    <row r="29" spans="2:52" ht="15" hidden="1" customHeight="1">
      <c r="B29" s="125"/>
      <c r="C29" s="167"/>
      <c r="D29" s="61"/>
      <c r="E29" s="61"/>
      <c r="F29" s="167"/>
      <c r="G29" s="167"/>
      <c r="H29" s="167"/>
      <c r="I29" s="61"/>
      <c r="J29" s="167"/>
      <c r="K29" s="259"/>
      <c r="L29" s="61"/>
      <c r="M29" s="61"/>
      <c r="N29" s="61"/>
      <c r="O29" s="61"/>
      <c r="P29" s="61"/>
      <c r="Q29" s="167"/>
      <c r="R29" s="61"/>
      <c r="S29" s="61"/>
      <c r="T29" s="61"/>
      <c r="U29" s="61"/>
      <c r="V29" s="61"/>
      <c r="W29" s="61"/>
      <c r="X29" s="167"/>
      <c r="Y29" s="337" t="s">
        <v>0</v>
      </c>
      <c r="Z29" s="338"/>
      <c r="AA29" s="338"/>
      <c r="AB29" s="338"/>
      <c r="AC29" s="338"/>
      <c r="AD29" s="339"/>
      <c r="AE29" s="3"/>
      <c r="AG29" s="384" t="s">
        <v>47</v>
      </c>
      <c r="AH29" s="384"/>
      <c r="AI29" s="384"/>
      <c r="AJ29" s="384"/>
      <c r="AN29" s="221">
        <f>IF($J26="","",$J26)</f>
        <v>20</v>
      </c>
      <c r="AO29" s="222" t="str">
        <f t="shared" si="4"/>
        <v>Grupo B</v>
      </c>
      <c r="AP29" s="349" t="str">
        <f>IF($K$26="","",$K$26)</f>
        <v>I Folgado/C Aragonês (Alentejo)</v>
      </c>
      <c r="AQ29" s="350" t="str">
        <f t="shared" si="5"/>
        <v>Grupo A</v>
      </c>
      <c r="AR29" s="350" t="str">
        <f t="shared" si="5"/>
        <v>Grupo A</v>
      </c>
      <c r="AS29" s="351" t="str">
        <f t="shared" si="5"/>
        <v>Grupo A</v>
      </c>
      <c r="AT29" s="223" t="str">
        <f>IF(COUNT($M$26:$M$27)&lt;2,"",IF($M$26&gt;$M$27,"V",IF($M$26&lt;$M$27,"D","Empate??")))</f>
        <v/>
      </c>
      <c r="AU29" s="224" t="str">
        <f>IF(COUNT($M$26:$M$27)&lt;2,"",$M$26)</f>
        <v/>
      </c>
      <c r="AV29" s="225" t="str">
        <f>IF(COUNT($M$26:$M$27)&lt;2,"",$M$27)</f>
        <v/>
      </c>
      <c r="AW29" s="226" t="str">
        <f t="shared" si="3"/>
        <v/>
      </c>
      <c r="AX29" s="225" t="str">
        <f>IF(COUNT($M$26:$M$27)&lt;2,"",SUM($N$26:$P$26))</f>
        <v/>
      </c>
      <c r="AY29" s="227" t="str">
        <f>IF(COUNT($M$26:$M$27)&lt;2,"",SUM($N$27:$P$27))</f>
        <v/>
      </c>
      <c r="AZ29" s="228" t="str">
        <f t="shared" si="2"/>
        <v/>
      </c>
    </row>
    <row r="30" spans="2:52" ht="15.75" hidden="1" customHeight="1" thickBot="1">
      <c r="B30" s="126"/>
      <c r="C30" s="317" t="str">
        <f>IF(D12="","1º do grupo A",D12)</f>
        <v>1º do grupo A</v>
      </c>
      <c r="D30" s="318"/>
      <c r="E30" s="69"/>
      <c r="F30" s="69"/>
      <c r="G30" s="70"/>
      <c r="H30" s="35" t="str">
        <f>IF(COUNT(E30:G30)&lt;1,"",IF(SUM(IF(E30&gt;E32,1,0),IF(F30&gt;F32,1,0),IF(G30&gt;G32,1,0))&gt;2,"??",SUM(IF(E30&gt;E32,1,0),IF(F30&gt;F32,1,0),IF(G30&gt;G32,1,0))))</f>
        <v/>
      </c>
      <c r="I30" s="36"/>
      <c r="J30" s="40"/>
      <c r="K30" s="55"/>
      <c r="L30" s="55"/>
      <c r="M30" s="55"/>
      <c r="N30" s="55"/>
      <c r="O30" s="55"/>
      <c r="P30" s="55"/>
      <c r="Q30" s="40"/>
      <c r="R30" s="55"/>
      <c r="S30" s="55"/>
      <c r="T30" s="55"/>
      <c r="U30" s="55"/>
      <c r="V30" s="55"/>
      <c r="W30" s="54"/>
      <c r="X30" s="68"/>
      <c r="Y30" s="340"/>
      <c r="Z30" s="341"/>
      <c r="AA30" s="341"/>
      <c r="AB30" s="341"/>
      <c r="AC30" s="341"/>
      <c r="AD30" s="342"/>
      <c r="AE30" s="113"/>
      <c r="AG30" s="385"/>
      <c r="AH30" s="385"/>
      <c r="AI30" s="385"/>
      <c r="AJ30" s="385"/>
      <c r="AN30" s="229">
        <f>IF($J26="","",$J26)</f>
        <v>20</v>
      </c>
      <c r="AO30" s="230" t="str">
        <f t="shared" si="4"/>
        <v>Grupo B</v>
      </c>
      <c r="AP30" s="354" t="str">
        <f>IF($K$27="","",$K$27)</f>
        <v>A Nunes/S Barros (Norte)</v>
      </c>
      <c r="AQ30" s="355" t="str">
        <f t="shared" si="5"/>
        <v>Grupo A</v>
      </c>
      <c r="AR30" s="355" t="str">
        <f t="shared" si="5"/>
        <v>Grupo A</v>
      </c>
      <c r="AS30" s="356" t="str">
        <f t="shared" si="5"/>
        <v>Grupo A</v>
      </c>
      <c r="AT30" s="231" t="str">
        <f>IF(COUNT($M$26:$M$27)&lt;2,"",IF($M$26&lt;$M$27,"V",IF($M$26&gt;$M$27,"D","Empate??")))</f>
        <v/>
      </c>
      <c r="AU30" s="232" t="str">
        <f>IF(COUNT($M$26:$M$27)&lt;2,"",$M$27)</f>
        <v/>
      </c>
      <c r="AV30" s="233" t="str">
        <f>IF(COUNT($M$26:$M$27)&lt;2,"",$M$26)</f>
        <v/>
      </c>
      <c r="AW30" s="234" t="str">
        <f t="shared" si="3"/>
        <v/>
      </c>
      <c r="AX30" s="233" t="str">
        <f>IF(COUNT($M$26:$M$27)&lt;2,"",SUM($N$27:$P$27))</f>
        <v/>
      </c>
      <c r="AY30" s="235" t="str">
        <f>IF(COUNT($M$26:$M$27)&lt;2,"",SUM($N$26:$P$26))</f>
        <v/>
      </c>
      <c r="AZ30" s="236" t="str">
        <f t="shared" si="2"/>
        <v/>
      </c>
    </row>
    <row r="31" spans="2:52" ht="15.75" hidden="1" customHeight="1">
      <c r="B31" s="126"/>
      <c r="C31" s="68"/>
      <c r="D31" s="37"/>
      <c r="E31" s="41"/>
      <c r="F31" s="41"/>
      <c r="G31" s="62"/>
      <c r="H31" s="64">
        <v>25</v>
      </c>
      <c r="I31" s="386" t="str">
        <f>IF(OR(H30="",H32="")=TRUE,"1ª Meia Final-Jogador1",IF(H30&gt;H32,C30,C32))</f>
        <v>1ª Meia Final-Jogador1</v>
      </c>
      <c r="J31" s="387"/>
      <c r="K31" s="388"/>
      <c r="L31" s="69"/>
      <c r="M31" s="69"/>
      <c r="N31" s="70"/>
      <c r="O31" s="38" t="str">
        <f>IF(COUNT(L31:N31)&lt;1,"",IF(SUM(IF(L31&gt;L35,1,0),IF(M31&gt;M35,1,0),IF(N31&gt;N35,1,0))&gt;2,"??",SUM(IF(L31&gt;L35,1,0),IF(M31&gt;M35,1,0),IF(N31&gt;N35,1,0))))</f>
        <v/>
      </c>
      <c r="P31" s="55"/>
      <c r="Q31" s="40"/>
      <c r="R31" s="55"/>
      <c r="S31" s="55"/>
      <c r="T31" s="55"/>
      <c r="U31" s="55"/>
      <c r="V31" s="55"/>
      <c r="W31" s="54"/>
      <c r="X31" s="68"/>
      <c r="Y31" s="389" t="str">
        <f>IF(X37="1º Classificado","",X37)</f>
        <v/>
      </c>
      <c r="Z31" s="390"/>
      <c r="AA31" s="390"/>
      <c r="AB31" s="390"/>
      <c r="AC31" s="390"/>
      <c r="AD31" s="39" t="s">
        <v>1</v>
      </c>
      <c r="AE31" s="113"/>
      <c r="AG31" s="385"/>
      <c r="AH31" s="385"/>
      <c r="AI31" s="385"/>
      <c r="AJ31" s="385"/>
      <c r="AN31" s="173">
        <f>IF($Q16="","",$Q16)</f>
        <v>5</v>
      </c>
      <c r="AO31" s="174" t="str">
        <f>IF($Q$5="","",$Q$5)</f>
        <v>Grupo C</v>
      </c>
      <c r="AP31" s="376" t="str">
        <f>IF($R$16="","",$R$16)</f>
        <v>D Pereira/M Conceição (Centro)</v>
      </c>
      <c r="AQ31" s="377" t="str">
        <f t="shared" si="5"/>
        <v>Grupo A</v>
      </c>
      <c r="AR31" s="377" t="str">
        <f t="shared" si="5"/>
        <v>Grupo A</v>
      </c>
      <c r="AS31" s="378" t="str">
        <f t="shared" si="5"/>
        <v>Grupo A</v>
      </c>
      <c r="AT31" s="176" t="str">
        <f>IF(COUNT($T$16:$T$17)&lt;2,"",IF($T$16&gt;$T$17,"V",IF($T$16&lt;$T$17,"D","Empate??")))</f>
        <v/>
      </c>
      <c r="AU31" s="177" t="str">
        <f>IF(COUNT($T$16:$T$17)&lt;2,"",$T$16)</f>
        <v/>
      </c>
      <c r="AV31" s="178" t="str">
        <f>IF(COUNT($T$16:$T$17)&lt;2,"",$T$17)</f>
        <v/>
      </c>
      <c r="AW31" s="179" t="str">
        <f t="shared" si="3"/>
        <v/>
      </c>
      <c r="AX31" s="178" t="str">
        <f>IF(COUNT($T$16:$T$17)&lt;2,"",SUM($U$16:$W$16))</f>
        <v/>
      </c>
      <c r="AY31" s="180" t="str">
        <f>IF(COUNT($T$16:$T$17)&lt;2,"",SUM($U$17:$W$17))</f>
        <v/>
      </c>
      <c r="AZ31" s="181" t="str">
        <f t="shared" si="2"/>
        <v/>
      </c>
    </row>
    <row r="32" spans="2:52" ht="15.75" hidden="1" customHeight="1">
      <c r="B32" s="126"/>
      <c r="C32" s="317" t="str">
        <f>IF(K13="","2º do grupo B",K13)</f>
        <v>2º do grupo B</v>
      </c>
      <c r="D32" s="318"/>
      <c r="E32" s="69"/>
      <c r="F32" s="69"/>
      <c r="G32" s="70"/>
      <c r="H32" s="35" t="str">
        <f>IF(COUNT(E32:G32)&lt;1,"",IF(SUM(IF(E30&lt;E32,1,0),IF(F30&lt;F32,1,0),IF(G30&lt;G32,1,0))&gt;2,"??",SUM(IF(E30&lt;E32,1,0),IF(F30&lt;F32,1,0),IF(G30&lt;G32,1,0))))</f>
        <v/>
      </c>
      <c r="I32" s="36"/>
      <c r="J32" s="40"/>
      <c r="K32" s="59"/>
      <c r="L32" s="55"/>
      <c r="M32" s="41"/>
      <c r="N32" s="41"/>
      <c r="O32" s="42"/>
      <c r="P32" s="36"/>
      <c r="Q32" s="40"/>
      <c r="R32" s="55"/>
      <c r="S32" s="55"/>
      <c r="T32" s="55"/>
      <c r="U32" s="55"/>
      <c r="V32" s="60"/>
      <c r="W32" s="53"/>
      <c r="X32" s="48"/>
      <c r="Y32" s="379" t="str">
        <f>IF(Y31="","",IF(Y31=P33,P41,P33))</f>
        <v/>
      </c>
      <c r="Z32" s="380" t="e">
        <f>IF(#REF!="","",IF(#REF!=W32,"","(2º) "))</f>
        <v>#REF!</v>
      </c>
      <c r="AA32" s="380" t="e">
        <f>IF(#REF!="","",IF(#REF!=X32,"","(2º) "))</f>
        <v>#REF!</v>
      </c>
      <c r="AB32" s="380" t="e">
        <f>IF(#REF!="","",IF(#REF!=Y32,"","(2º) "))</f>
        <v>#REF!</v>
      </c>
      <c r="AC32" s="380" t="e">
        <f>IF(#REF!="","",IF(#REF!=Z32,"","(2º) "))</f>
        <v>#REF!</v>
      </c>
      <c r="AD32" s="43" t="s">
        <v>2</v>
      </c>
      <c r="AE32" s="113"/>
      <c r="AN32" s="182">
        <f>IF($Q16="","",$Q16)</f>
        <v>5</v>
      </c>
      <c r="AO32" s="171" t="str">
        <f t="shared" ref="AO32:AO42" si="6">IF($Q$5="","",$Q$5)</f>
        <v>Grupo C</v>
      </c>
      <c r="AP32" s="367" t="str">
        <f>IF($R$17="","",$R$17)</f>
        <v/>
      </c>
      <c r="AQ32" s="368" t="str">
        <f t="shared" si="5"/>
        <v>Grupo A</v>
      </c>
      <c r="AR32" s="368" t="str">
        <f t="shared" si="5"/>
        <v>Grupo A</v>
      </c>
      <c r="AS32" s="369" t="str">
        <f t="shared" si="5"/>
        <v>Grupo A</v>
      </c>
      <c r="AT32" s="183" t="str">
        <f>IF(COUNT($T$16:$T$17)&lt;2,"",IF($T$16&lt;$T$17,"V",IF($T$16&gt;$T$17,"D","Empate??")))</f>
        <v/>
      </c>
      <c r="AU32" s="184" t="str">
        <f>IF(COUNT($T$16:$T$17)&lt;2,"",$T$17)</f>
        <v/>
      </c>
      <c r="AV32" s="185" t="str">
        <f>IF(COUNT($T$16:$T$17)&lt;2,"",$T$16)</f>
        <v/>
      </c>
      <c r="AW32" s="186" t="str">
        <f t="shared" si="3"/>
        <v/>
      </c>
      <c r="AX32" s="185" t="str">
        <f>IF(COUNT($T$16:$T$17)&lt;2,"",SUM($U$17:$W$17))</f>
        <v/>
      </c>
      <c r="AY32" s="187" t="str">
        <f>IF(COUNT($T$16:$T$17)&lt;2,"",SUM($U$16:$W$16))</f>
        <v/>
      </c>
      <c r="AZ32" s="188" t="str">
        <f t="shared" si="2"/>
        <v/>
      </c>
    </row>
    <row r="33" spans="2:52" ht="15.75" hidden="1" customHeight="1">
      <c r="B33" s="126"/>
      <c r="C33" s="68"/>
      <c r="D33" s="37"/>
      <c r="E33" s="55"/>
      <c r="F33" s="42"/>
      <c r="G33" s="44"/>
      <c r="H33" s="44"/>
      <c r="I33" s="55"/>
      <c r="J33" s="40"/>
      <c r="K33" s="59"/>
      <c r="L33" s="55"/>
      <c r="M33" s="42"/>
      <c r="N33" s="42"/>
      <c r="O33" s="64">
        <v>29</v>
      </c>
      <c r="P33" s="322" t="str">
        <f>IF(OR(O31="",O35="")=TRUE,"Final-Jogador1",IF(O31&gt;O35,I31,I35))</f>
        <v>Final-Jogador1</v>
      </c>
      <c r="Q33" s="317"/>
      <c r="R33" s="317"/>
      <c r="S33" s="318"/>
      <c r="T33" s="69"/>
      <c r="U33" s="69"/>
      <c r="V33" s="69"/>
      <c r="W33" s="45" t="str">
        <f>IF(COUNT(T33:V33)&lt;1,"",IF(SUM(IF(T33&gt;T41,1,0),IF(U33&gt;U41,1,0),IF(V33&gt;V41,1,0))&gt;2,"??",SUM(IF(T33&gt;T41,1,0),IF(U33&gt;U41,1,0),IF(V33&gt;V41,1,0))))</f>
        <v/>
      </c>
      <c r="X33" s="48"/>
      <c r="Y33" s="381" t="str">
        <f>IF(P37="3º Classificado","",P37)</f>
        <v/>
      </c>
      <c r="Z33" s="382"/>
      <c r="AA33" s="382"/>
      <c r="AB33" s="382"/>
      <c r="AC33" s="382"/>
      <c r="AD33" s="166" t="s">
        <v>3</v>
      </c>
      <c r="AE33" s="113"/>
      <c r="AN33" s="189">
        <f>IF($Q18="","",$Q18)</f>
        <v>6</v>
      </c>
      <c r="AO33" s="172" t="str">
        <f t="shared" si="6"/>
        <v>Grupo C</v>
      </c>
      <c r="AP33" s="364" t="str">
        <f>IF($R$18="","",$R$18)</f>
        <v>A Vitó/M Neves (Norte)</v>
      </c>
      <c r="AQ33" s="365" t="str">
        <f t="shared" si="5"/>
        <v>Grupo A</v>
      </c>
      <c r="AR33" s="365" t="str">
        <f t="shared" si="5"/>
        <v>Grupo A</v>
      </c>
      <c r="AS33" s="366" t="str">
        <f t="shared" si="5"/>
        <v>Grupo A</v>
      </c>
      <c r="AT33" s="190" t="str">
        <f>IF(COUNT($T$18:$T$19)&lt;2,"",IF($T$18&gt;$T$19,"V",IF($T$18&lt;$T$19,"D","Empate??")))</f>
        <v/>
      </c>
      <c r="AU33" s="191" t="str">
        <f>IF(COUNT($T$18:$T$19)&lt;2,"",$T$18)</f>
        <v/>
      </c>
      <c r="AV33" s="192" t="str">
        <f>IF(COUNT($T$18:$T$19)&lt;2,"",$T$19)</f>
        <v/>
      </c>
      <c r="AW33" s="193" t="str">
        <f t="shared" si="3"/>
        <v/>
      </c>
      <c r="AX33" s="192" t="str">
        <f>IF(COUNT($T$18:$T$19)&lt;2,"",SUM($U$18:$W$18))</f>
        <v/>
      </c>
      <c r="AY33" s="194" t="str">
        <f>IF(COUNT($T$18:$T$19)&lt;2,"",SUM($U$19:$W$19))</f>
        <v/>
      </c>
      <c r="AZ33" s="195" t="str">
        <f t="shared" si="2"/>
        <v/>
      </c>
    </row>
    <row r="34" spans="2:52" ht="15.75" hidden="1" customHeight="1" thickBot="1">
      <c r="B34" s="126"/>
      <c r="C34" s="317" t="str">
        <f>IF(Y13="","2º do grupo D",Y13)</f>
        <v>2º do grupo D</v>
      </c>
      <c r="D34" s="318"/>
      <c r="E34" s="69"/>
      <c r="F34" s="69"/>
      <c r="G34" s="70"/>
      <c r="H34" s="35" t="str">
        <f>IF(COUNT(E34:G34)&lt;1,"",IF(SUM(IF(E34&gt;E36,1,0),IF(F34&gt;F36,1,0),IF(G34&gt;G36,1,0))&gt;2,"??",SUM(IF(E34&gt;E36,1,0),IF(F34&gt;F36,1,0),IF(G34&gt;G36,1,0))))</f>
        <v/>
      </c>
      <c r="I34" s="36"/>
      <c r="J34" s="40"/>
      <c r="K34" s="59"/>
      <c r="L34" s="55"/>
      <c r="M34" s="42"/>
      <c r="N34" s="42"/>
      <c r="O34" s="42"/>
      <c r="P34" s="36"/>
      <c r="Q34" s="40"/>
      <c r="R34" s="55"/>
      <c r="S34" s="46"/>
      <c r="T34" s="42"/>
      <c r="U34" s="42"/>
      <c r="V34" s="67"/>
      <c r="W34" s="47"/>
      <c r="X34" s="48"/>
      <c r="Y34" s="371" t="str">
        <f>IF(Y33="","",IF(Y33=P35,P39,P35))</f>
        <v/>
      </c>
      <c r="Z34" s="372" t="e">
        <f>IF(#REF!="","",IF(#REF!=W34,"","(2º) "))</f>
        <v>#REF!</v>
      </c>
      <c r="AA34" s="372" t="e">
        <f>IF(#REF!="","",IF(#REF!=X34,"","(2º) "))</f>
        <v>#REF!</v>
      </c>
      <c r="AB34" s="372" t="e">
        <f>IF(#REF!="","",IF(#REF!=Y34,"","(2º) "))</f>
        <v>#REF!</v>
      </c>
      <c r="AC34" s="372" t="e">
        <f>IF(#REF!="","",IF(#REF!=Z34,"","(2º) "))</f>
        <v>#REF!</v>
      </c>
      <c r="AD34" s="165" t="s">
        <v>4</v>
      </c>
      <c r="AE34" s="113"/>
      <c r="AN34" s="182">
        <f>IF($Q18="","",$Q18)</f>
        <v>6</v>
      </c>
      <c r="AO34" s="171" t="str">
        <f t="shared" si="6"/>
        <v>Grupo C</v>
      </c>
      <c r="AP34" s="367" t="str">
        <f>IF($R$19="","",$R$19)</f>
        <v>A Rodrigues/R Pinto (Lisboa)</v>
      </c>
      <c r="AQ34" s="368" t="str">
        <f t="shared" si="5"/>
        <v>Grupo A</v>
      </c>
      <c r="AR34" s="368" t="str">
        <f t="shared" si="5"/>
        <v>Grupo A</v>
      </c>
      <c r="AS34" s="369" t="str">
        <f t="shared" si="5"/>
        <v>Grupo A</v>
      </c>
      <c r="AT34" s="183" t="str">
        <f>IF(COUNT($T$18:$T$19)&lt;2,"",IF($T$18&lt;$T$19,"V",IF($T$18&gt;$T$19,"D","Empate??")))</f>
        <v/>
      </c>
      <c r="AU34" s="184" t="str">
        <f>IF(COUNT($T$18:$T$19)&lt;2,"",$T$19)</f>
        <v/>
      </c>
      <c r="AV34" s="185" t="str">
        <f>IF(COUNT($T$18:$T$19)&lt;2,"",$T$18)</f>
        <v/>
      </c>
      <c r="AW34" s="186" t="str">
        <f t="shared" si="3"/>
        <v/>
      </c>
      <c r="AX34" s="185" t="str">
        <f>IF(COUNT($T$18:$T$19)&lt;2,"",SUM($U$19:$W$19))</f>
        <v/>
      </c>
      <c r="AY34" s="187" t="str">
        <f>IF(COUNT($T$18:$T$19)&lt;2,"",SUM($U$18:$W$18))</f>
        <v/>
      </c>
      <c r="AZ34" s="188" t="str">
        <f t="shared" si="2"/>
        <v/>
      </c>
    </row>
    <row r="35" spans="2:52" ht="15.75" hidden="1" customHeight="1">
      <c r="B35" s="126"/>
      <c r="C35" s="68"/>
      <c r="D35" s="37"/>
      <c r="E35" s="55"/>
      <c r="F35" s="42"/>
      <c r="G35" s="44"/>
      <c r="H35" s="63">
        <v>26</v>
      </c>
      <c r="I35" s="322" t="str">
        <f>IF(OR(H34="",H36="")=TRUE,"1ª Meia Final-Jogador2",IF(H34&gt;H36,C34,C36))</f>
        <v>1ª Meia Final-Jogador2</v>
      </c>
      <c r="J35" s="317"/>
      <c r="K35" s="318"/>
      <c r="L35" s="69"/>
      <c r="M35" s="69"/>
      <c r="N35" s="70"/>
      <c r="O35" s="38" t="str">
        <f>IF(COUNT(L35:N35)&lt;1,"",IF(SUM(IF(L31&lt;L35,1,0),IF(M31&lt;M35,1,0),IF(N31&lt;N35,1,0))&gt;2,"??",SUM(IF(L31&lt;L35,1,0),IF(M31&lt;M35,1,0),IF(N31&lt;N35,1,0))))</f>
        <v/>
      </c>
      <c r="P35" s="319" t="str">
        <f>IF(P33="Final-Jogador1","Disputa 3º/4º  Jogador1",IF(P33=I31,I35,I31))</f>
        <v>Disputa 3º/4º  Jogador1</v>
      </c>
      <c r="Q35" s="320"/>
      <c r="R35" s="321"/>
      <c r="S35" s="69"/>
      <c r="T35" s="69"/>
      <c r="U35" s="69"/>
      <c r="V35" s="49" t="str">
        <f>IF(COUNT(S35:U35)&lt;1,"",IF(SUM(IF(S35&gt;S39,1,0),IF(T35&gt;T39,1,0),IF(U35&gt;U39,1,0))&gt;2,"??",SUM(IF(S35&gt;S39,1,0),IF(T35&gt;T39,1,0),IF(U35&gt;U39,1,0))))</f>
        <v/>
      </c>
      <c r="W35" s="50"/>
      <c r="X35" s="48"/>
      <c r="Y35" s="53"/>
      <c r="Z35" s="53"/>
      <c r="AA35" s="53"/>
      <c r="AB35" s="53"/>
      <c r="AC35" s="53"/>
      <c r="AD35" s="54"/>
      <c r="AE35" s="113"/>
      <c r="AN35" s="189">
        <f>IF($Q20="","",$Q20)</f>
        <v>13</v>
      </c>
      <c r="AO35" s="172" t="str">
        <f t="shared" si="6"/>
        <v>Grupo C</v>
      </c>
      <c r="AP35" s="364" t="str">
        <f>IF($R$20="","",$R$20)</f>
        <v/>
      </c>
      <c r="AQ35" s="365" t="str">
        <f t="shared" si="5"/>
        <v>Grupo A</v>
      </c>
      <c r="AR35" s="365" t="str">
        <f t="shared" si="5"/>
        <v>Grupo A</v>
      </c>
      <c r="AS35" s="366" t="str">
        <f t="shared" si="5"/>
        <v>Grupo A</v>
      </c>
      <c r="AT35" s="190" t="str">
        <f>IF(COUNT($T$20:$T$21)&lt;2,"",IF($T$20&gt;$T$21,"V",IF($T$20&lt;$T$21,"D","Empate??")))</f>
        <v/>
      </c>
      <c r="AU35" s="191" t="str">
        <f>IF(COUNT($T$20:$T$21)&lt;2,"",$T$20)</f>
        <v/>
      </c>
      <c r="AV35" s="192" t="str">
        <f>IF(COUNT($T$20:$T$21)&lt;2,"",$T$21)</f>
        <v/>
      </c>
      <c r="AW35" s="193" t="str">
        <f t="shared" si="3"/>
        <v/>
      </c>
      <c r="AX35" s="192" t="str">
        <f>IF(COUNT($T$20:$T$21)&lt;2,"",SUM($U$20:$W$20))</f>
        <v/>
      </c>
      <c r="AY35" s="194" t="str">
        <f>IF(COUNT($T$20:$T$21)&lt;2,"",SUM($U$21:$W$21))</f>
        <v/>
      </c>
      <c r="AZ35" s="195" t="str">
        <f t="shared" si="2"/>
        <v/>
      </c>
    </row>
    <row r="36" spans="2:52" ht="15.75" hidden="1" customHeight="1">
      <c r="B36" s="126"/>
      <c r="C36" s="317" t="str">
        <f>IF(R12="","1º do grupo C",R12)</f>
        <v>1º do grupo C</v>
      </c>
      <c r="D36" s="318"/>
      <c r="E36" s="69"/>
      <c r="F36" s="69"/>
      <c r="G36" s="70"/>
      <c r="H36" s="35" t="str">
        <f>IF(COUNT(E36:G36)&lt;1,"",IF(SUM(IF(E34&lt;E36,1,0),IF(F34&lt;F36,1,0),IF(G34&lt;G36,1,0))&gt;2,"??",SUM(IF(E34&lt;E36,1,0),IF(F34&lt;F36,1,0),IF(G34&lt;G36,1,0))))</f>
        <v/>
      </c>
      <c r="I36" s="36"/>
      <c r="J36" s="40"/>
      <c r="K36" s="59"/>
      <c r="L36" s="46"/>
      <c r="M36" s="42"/>
      <c r="N36" s="42"/>
      <c r="O36" s="42"/>
      <c r="P36" s="55"/>
      <c r="Q36" s="51"/>
      <c r="R36" s="46"/>
      <c r="S36" s="46"/>
      <c r="T36" s="41"/>
      <c r="U36" s="41"/>
      <c r="V36" s="52"/>
      <c r="W36" s="50"/>
      <c r="X36" s="48"/>
      <c r="Y36" s="53"/>
      <c r="Z36" s="53"/>
      <c r="AA36" s="53"/>
      <c r="AB36" s="53"/>
      <c r="AC36" s="53"/>
      <c r="AD36" s="54"/>
      <c r="AE36" s="113"/>
      <c r="AN36" s="182">
        <f>IF($Q20="","",$Q20)</f>
        <v>13</v>
      </c>
      <c r="AO36" s="171" t="str">
        <f t="shared" si="6"/>
        <v>Grupo C</v>
      </c>
      <c r="AP36" s="367" t="str">
        <f>IF($R$21="","",$R$21)</f>
        <v>A Rodrigues/R Pinto (Lisboa)</v>
      </c>
      <c r="AQ36" s="368" t="str">
        <f t="shared" si="5"/>
        <v>Grupo A</v>
      </c>
      <c r="AR36" s="368" t="str">
        <f t="shared" si="5"/>
        <v>Grupo A</v>
      </c>
      <c r="AS36" s="369" t="str">
        <f t="shared" si="5"/>
        <v>Grupo A</v>
      </c>
      <c r="AT36" s="183" t="str">
        <f>IF(COUNT($T$20:$T$21)&lt;2,"",IF($T$20&lt;$T$21,"V",IF($T$20&gt;$T$21,"D","Empate??")))</f>
        <v/>
      </c>
      <c r="AU36" s="184" t="str">
        <f>IF(COUNT($T$20:$T$21)&lt;2,"",$T$21)</f>
        <v/>
      </c>
      <c r="AV36" s="185" t="str">
        <f>IF(COUNT($T$20:$T$21)&lt;2,"",$T$20)</f>
        <v/>
      </c>
      <c r="AW36" s="186" t="str">
        <f t="shared" si="3"/>
        <v/>
      </c>
      <c r="AX36" s="185" t="str">
        <f>IF(COUNT($T$20:$T$21)&lt;2,"",SUM($U$21:$W$21))</f>
        <v/>
      </c>
      <c r="AY36" s="187" t="str">
        <f>IF(COUNT($T$20:$T$21)&lt;2,"",SUM($U$20:$W$20))</f>
        <v/>
      </c>
      <c r="AZ36" s="188" t="str">
        <f t="shared" si="2"/>
        <v/>
      </c>
    </row>
    <row r="37" spans="2:52" ht="27" hidden="1" customHeight="1">
      <c r="B37" s="126"/>
      <c r="C37" s="127" t="s">
        <v>72</v>
      </c>
      <c r="D37" s="71"/>
      <c r="E37" s="118"/>
      <c r="F37" s="118"/>
      <c r="G37" s="119"/>
      <c r="H37" s="120"/>
      <c r="I37" s="55"/>
      <c r="J37" s="40"/>
      <c r="K37" s="59"/>
      <c r="L37" s="55"/>
      <c r="M37" s="42"/>
      <c r="N37" s="42"/>
      <c r="O37" s="42"/>
      <c r="P37" s="328" t="str">
        <f>IF(OR(V35="",V39="")=TRUE,"3º Classificado",IF(V35&gt;V39,P35,P39))</f>
        <v>3º Classificado</v>
      </c>
      <c r="Q37" s="328"/>
      <c r="R37" s="328"/>
      <c r="S37" s="328"/>
      <c r="T37" s="328"/>
      <c r="U37" s="328"/>
      <c r="V37" s="65">
        <v>31</v>
      </c>
      <c r="W37" s="66">
        <v>32</v>
      </c>
      <c r="X37" s="329" t="str">
        <f>IF(OR(W33="",W41="")=TRUE,"1º Classificado",IF(W33&gt;W41,P33,P41))</f>
        <v>1º Classificado</v>
      </c>
      <c r="Y37" s="330"/>
      <c r="Z37" s="330"/>
      <c r="AA37" s="330"/>
      <c r="AB37" s="330"/>
      <c r="AC37" s="330"/>
      <c r="AD37" s="54"/>
      <c r="AE37" s="113"/>
      <c r="AN37" s="189">
        <f>IF($Q22="","",$Q22)</f>
        <v>14</v>
      </c>
      <c r="AO37" s="172" t="str">
        <f t="shared" si="6"/>
        <v>Grupo C</v>
      </c>
      <c r="AP37" s="364" t="str">
        <f>IF($R$22="","",$R$22)</f>
        <v>D Pereira/M Conceição (Centro)</v>
      </c>
      <c r="AQ37" s="365" t="str">
        <f t="shared" si="5"/>
        <v>Grupo A</v>
      </c>
      <c r="AR37" s="365" t="str">
        <f t="shared" si="5"/>
        <v>Grupo A</v>
      </c>
      <c r="AS37" s="366" t="str">
        <f t="shared" si="5"/>
        <v>Grupo A</v>
      </c>
      <c r="AT37" s="190" t="str">
        <f>IF(COUNT($T$22:$T$23)&lt;2,"",IF($T$22&gt;$T$23,"V",IF($T$22&lt;$T$23,"D","Empate??")))</f>
        <v/>
      </c>
      <c r="AU37" s="191" t="str">
        <f>IF(COUNT($T$22:$T$23)&lt;2,"",$T$22)</f>
        <v/>
      </c>
      <c r="AV37" s="192" t="str">
        <f>IF(COUNT($T$22:$T$23)&lt;2,"",$T$23)</f>
        <v/>
      </c>
      <c r="AW37" s="193" t="str">
        <f t="shared" si="3"/>
        <v/>
      </c>
      <c r="AX37" s="192" t="str">
        <f>IF(COUNT($T$22:$T$23)&lt;2,"",SUM($U$22:$W$22))</f>
        <v/>
      </c>
      <c r="AY37" s="194" t="str">
        <f>IF(COUNT($T$22:$T$23)&lt;2,"",SUM($U$23:$W$23))</f>
        <v/>
      </c>
      <c r="AZ37" s="195" t="str">
        <f t="shared" si="2"/>
        <v/>
      </c>
    </row>
    <row r="38" spans="2:52" ht="15.75" hidden="1" customHeight="1">
      <c r="B38" s="126"/>
      <c r="C38" s="317" t="str">
        <f>IF(K12="","1º do grupo B",K12)</f>
        <v>1º do grupo B</v>
      </c>
      <c r="D38" s="318"/>
      <c r="E38" s="69"/>
      <c r="F38" s="69"/>
      <c r="G38" s="70"/>
      <c r="H38" s="35" t="str">
        <f>IF(COUNT(E38:G38)&lt;1,"",IF(SUM(IF(E38&gt;E40,1,0),IF(F38&gt;F40,1,0),IF(G38&gt;G40,1,0))&gt;2,"??",SUM(IF(E38&gt;E40,1,0),IF(F38&gt;F40,1,0),IF(G38&gt;G40,1,0))))</f>
        <v/>
      </c>
      <c r="I38" s="36"/>
      <c r="J38" s="40"/>
      <c r="K38" s="59"/>
      <c r="L38" s="55"/>
      <c r="M38" s="42"/>
      <c r="N38" s="42"/>
      <c r="O38" s="42"/>
      <c r="P38" s="55"/>
      <c r="Q38" s="40"/>
      <c r="R38" s="55"/>
      <c r="S38" s="55"/>
      <c r="T38" s="42"/>
      <c r="U38" s="42"/>
      <c r="V38" s="56"/>
      <c r="W38" s="50"/>
      <c r="X38" s="48"/>
      <c r="Y38" s="370" t="s">
        <v>5</v>
      </c>
      <c r="Z38" s="370"/>
      <c r="AA38" s="370"/>
      <c r="AB38" s="370"/>
      <c r="AC38" s="370"/>
      <c r="AD38" s="54"/>
      <c r="AE38" s="113"/>
      <c r="AN38" s="182">
        <f>IF($Q22="","",$Q22)</f>
        <v>14</v>
      </c>
      <c r="AO38" s="171" t="str">
        <f t="shared" si="6"/>
        <v>Grupo C</v>
      </c>
      <c r="AP38" s="367" t="str">
        <f>IF($R$23="","",$R$23)</f>
        <v>A Vitó/M Neves (Norte)</v>
      </c>
      <c r="AQ38" s="368" t="str">
        <f t="shared" si="5"/>
        <v>Grupo A</v>
      </c>
      <c r="AR38" s="368" t="str">
        <f t="shared" si="5"/>
        <v>Grupo A</v>
      </c>
      <c r="AS38" s="369" t="str">
        <f t="shared" si="5"/>
        <v>Grupo A</v>
      </c>
      <c r="AT38" s="183" t="str">
        <f>IF(COUNT($T$22:$T$23)&lt;2,"",IF($T$22&lt;$T$23,"V",IF($T$22&gt;$T$23,"D","Empate??")))</f>
        <v/>
      </c>
      <c r="AU38" s="184" t="str">
        <f>IF(COUNT($T$22:$T$23)&lt;2,"",$T$23)</f>
        <v/>
      </c>
      <c r="AV38" s="185" t="str">
        <f>IF(COUNT($T$22:$T$23)&lt;2,"",$T$22)</f>
        <v/>
      </c>
      <c r="AW38" s="186" t="str">
        <f t="shared" si="3"/>
        <v/>
      </c>
      <c r="AX38" s="185" t="str">
        <f>IF(COUNT($T$22:$T$23)&lt;2,"",SUM($U$23:$W$23))</f>
        <v/>
      </c>
      <c r="AY38" s="187" t="str">
        <f>IF(COUNT($T$22:$T$23)&lt;2,"",SUM($U$22:$W$22))</f>
        <v/>
      </c>
      <c r="AZ38" s="188" t="str">
        <f t="shared" si="2"/>
        <v/>
      </c>
    </row>
    <row r="39" spans="2:52" ht="15.75" hidden="1" customHeight="1">
      <c r="B39" s="126"/>
      <c r="C39" s="68"/>
      <c r="D39" s="37"/>
      <c r="E39" s="55"/>
      <c r="F39" s="41"/>
      <c r="G39" s="44"/>
      <c r="H39" s="63">
        <v>27</v>
      </c>
      <c r="I39" s="322" t="str">
        <f>IF(OR(H38="",H40="")=TRUE,"2ª Meia Final-Jogador1",IF(H38&gt;H40,C38,C40))</f>
        <v>2ª Meia Final-Jogador1</v>
      </c>
      <c r="J39" s="317"/>
      <c r="K39" s="318"/>
      <c r="L39" s="69"/>
      <c r="M39" s="69"/>
      <c r="N39" s="70"/>
      <c r="O39" s="38" t="str">
        <f>IF(COUNT(L39:N39)&lt;1,"",IF(SUM(IF(L39&gt;L43,1,0),IF(M39&gt;M43,1,0),IF(N39&gt;N43,1,0))&gt;2,"??",SUM(IF(L39&gt;L43,1,0),IF(M39&gt;M43,1,0),IF(N39&gt;N43,1,0))))</f>
        <v/>
      </c>
      <c r="P39" s="319" t="str">
        <f>IF(P41="Final-Jogador2","Disputa 3º/4º  Jogador2",IF(P41=I39,I43,I39))</f>
        <v>Disputa 3º/4º  Jogador2</v>
      </c>
      <c r="Q39" s="320"/>
      <c r="R39" s="321"/>
      <c r="S39" s="69"/>
      <c r="T39" s="69"/>
      <c r="U39" s="69"/>
      <c r="V39" s="49" t="str">
        <f>IF(COUNT(S39:U39)&lt;1,"",IF(SUM(IF(S35&lt;S39,1,0),IF(T35&lt;T39,1,0),IF(U35&lt;U39,1,0))&gt;2,"??",SUM(IF(S35&lt;S39,1,0),IF(T35&lt;T39,1,0),IF(U35&lt;U39,1,0))))</f>
        <v/>
      </c>
      <c r="W39" s="50"/>
      <c r="X39" s="48"/>
      <c r="Y39" s="53"/>
      <c r="Z39" s="53"/>
      <c r="AA39" s="53"/>
      <c r="AB39" s="57"/>
      <c r="AC39" s="57"/>
      <c r="AD39" s="58"/>
      <c r="AE39" s="113"/>
      <c r="AN39" s="189">
        <f>IF($Q24="","",$Q24)</f>
        <v>21</v>
      </c>
      <c r="AO39" s="172" t="str">
        <f t="shared" si="6"/>
        <v>Grupo C</v>
      </c>
      <c r="AP39" s="364" t="str">
        <f>IF($R$24="","",$R$24)</f>
        <v>A Vitó/M Neves (Norte)</v>
      </c>
      <c r="AQ39" s="365" t="str">
        <f t="shared" ref="AQ39:AS54" si="7">IF($C$5="","",$C$5)</f>
        <v>Grupo A</v>
      </c>
      <c r="AR39" s="365" t="str">
        <f t="shared" si="7"/>
        <v>Grupo A</v>
      </c>
      <c r="AS39" s="366" t="str">
        <f t="shared" si="7"/>
        <v>Grupo A</v>
      </c>
      <c r="AT39" s="190" t="str">
        <f>IF(COUNT($T$24:$T$25)&lt;2,"",IF($T$24&gt;$T$25,"V",IF($T$24&lt;$T$25,"D","Empate??")))</f>
        <v/>
      </c>
      <c r="AU39" s="191" t="str">
        <f>IF(COUNT($T$24:$T$25)&lt;2,"",$T$24)</f>
        <v/>
      </c>
      <c r="AV39" s="192" t="str">
        <f>IF(COUNT($T$24:$T$25)&lt;2,"",$T$25)</f>
        <v/>
      </c>
      <c r="AW39" s="193" t="str">
        <f t="shared" si="3"/>
        <v/>
      </c>
      <c r="AX39" s="192" t="str">
        <f>IF(COUNT($T$24:$T$25)&lt;2,"",SUM($U$24:$W$24))</f>
        <v/>
      </c>
      <c r="AY39" s="194" t="str">
        <f>IF(COUNT($T$24:$T$25)&lt;2,"",SUM($U$25:$W$25))</f>
        <v/>
      </c>
      <c r="AZ39" s="195" t="str">
        <f t="shared" si="2"/>
        <v/>
      </c>
    </row>
    <row r="40" spans="2:52" ht="15.75" hidden="1" customHeight="1">
      <c r="B40" s="126"/>
      <c r="C40" s="317" t="str">
        <f>IF(D13="","2º do grupo A",D13)</f>
        <v>2º do grupo A</v>
      </c>
      <c r="D40" s="318"/>
      <c r="E40" s="69"/>
      <c r="F40" s="69"/>
      <c r="G40" s="70"/>
      <c r="H40" s="35" t="str">
        <f>IF(COUNT(E40:G40)&lt;1,"",IF(SUM(IF(E38&lt;E40,1,0),IF(F38&lt;F40,1,0),IF(G38&lt;G40,1,0))&gt;2,"??",SUM(IF(E38&lt;E40,1,0),IF(F38&lt;F40,1,0),IF(G38&lt;G40,1,0))))</f>
        <v/>
      </c>
      <c r="I40" s="36"/>
      <c r="J40" s="40"/>
      <c r="K40" s="59"/>
      <c r="L40" s="55"/>
      <c r="M40" s="41"/>
      <c r="N40" s="41"/>
      <c r="O40" s="42"/>
      <c r="P40" s="36"/>
      <c r="Q40" s="51"/>
      <c r="R40" s="46"/>
      <c r="S40" s="55"/>
      <c r="T40" s="42"/>
      <c r="U40" s="42"/>
      <c r="V40" s="67"/>
      <c r="W40" s="50"/>
      <c r="X40" s="48"/>
      <c r="Y40" s="53"/>
      <c r="Z40" s="53"/>
      <c r="AA40" s="53"/>
      <c r="AB40" s="53"/>
      <c r="AC40" s="53"/>
      <c r="AD40" s="54"/>
      <c r="AE40" s="113"/>
      <c r="AN40" s="182">
        <f>IF($Q24="","",$Q24)</f>
        <v>21</v>
      </c>
      <c r="AO40" s="171" t="str">
        <f t="shared" si="6"/>
        <v>Grupo C</v>
      </c>
      <c r="AP40" s="367" t="str">
        <f>IF($R$25="","",$R$25)</f>
        <v/>
      </c>
      <c r="AQ40" s="368" t="str">
        <f t="shared" si="7"/>
        <v>Grupo A</v>
      </c>
      <c r="AR40" s="368" t="str">
        <f t="shared" si="7"/>
        <v>Grupo A</v>
      </c>
      <c r="AS40" s="369" t="str">
        <f t="shared" si="7"/>
        <v>Grupo A</v>
      </c>
      <c r="AT40" s="183" t="str">
        <f>IF(COUNT($T$24:$T$25)&lt;2,"",IF($T$24&lt;$T$25,"V",IF($T$24&gt;$T$25,"D","Empate??")))</f>
        <v/>
      </c>
      <c r="AU40" s="184" t="str">
        <f>IF(COUNT($T$24:$T$25)&lt;2,"",$T$25)</f>
        <v/>
      </c>
      <c r="AV40" s="185" t="str">
        <f>IF(COUNT($T$24:$T$25)&lt;2,"",$T$24)</f>
        <v/>
      </c>
      <c r="AW40" s="186" t="str">
        <f t="shared" si="3"/>
        <v/>
      </c>
      <c r="AX40" s="185" t="str">
        <f>IF(COUNT($T$24:$T$25)&lt;2,"",SUM($U$25:$W$25))</f>
        <v/>
      </c>
      <c r="AY40" s="187" t="str">
        <f>IF(COUNT($T$24:$T$25)&lt;2,"",SUM($U$24:$W$24))</f>
        <v/>
      </c>
      <c r="AZ40" s="188" t="str">
        <f t="shared" si="2"/>
        <v/>
      </c>
    </row>
    <row r="41" spans="2:52" ht="15.75" hidden="1" customHeight="1">
      <c r="B41" s="126"/>
      <c r="C41" s="68"/>
      <c r="D41" s="37"/>
      <c r="E41" s="55"/>
      <c r="F41" s="42"/>
      <c r="G41" s="44"/>
      <c r="H41" s="121"/>
      <c r="I41" s="55"/>
      <c r="J41" s="40"/>
      <c r="K41" s="59"/>
      <c r="L41" s="55"/>
      <c r="M41" s="42"/>
      <c r="N41" s="42"/>
      <c r="O41" s="64">
        <v>30</v>
      </c>
      <c r="P41" s="322" t="str">
        <f>IF(OR(O39="",O43="")=TRUE,"Final-Jogador2",IF(O39&gt;O43,I39,I43))</f>
        <v>Final-Jogador2</v>
      </c>
      <c r="Q41" s="317"/>
      <c r="R41" s="317"/>
      <c r="S41" s="318"/>
      <c r="T41" s="69"/>
      <c r="U41" s="69"/>
      <c r="V41" s="69"/>
      <c r="W41" s="45" t="str">
        <f>IF(COUNT(T41:V41)&lt;1,"",IF(SUM(IF(T33&lt;T41,1,0),IF(U33&lt;U41,1,0),IF(V33&lt;V41,1,0))&gt;2,"??",SUM(IF(T33&lt;T41,1,0),IF(U33&lt;U41,1,0),IF(V33&lt;V41,1,0))))</f>
        <v/>
      </c>
      <c r="X41" s="48"/>
      <c r="Y41" s="53"/>
      <c r="Z41" s="53"/>
      <c r="AA41" s="53"/>
      <c r="AB41" s="53"/>
      <c r="AC41" s="53"/>
      <c r="AD41" s="54"/>
      <c r="AE41" s="113"/>
      <c r="AN41" s="189">
        <f>IF($Q26="","",$Q26)</f>
        <v>22</v>
      </c>
      <c r="AO41" s="172" t="str">
        <f t="shared" si="6"/>
        <v>Grupo C</v>
      </c>
      <c r="AP41" s="364" t="str">
        <f>IF($R$26="","",$R$26)</f>
        <v>A Rodrigues/R Pinto (Lisboa)</v>
      </c>
      <c r="AQ41" s="365" t="str">
        <f t="shared" si="7"/>
        <v>Grupo A</v>
      </c>
      <c r="AR41" s="365" t="str">
        <f t="shared" si="7"/>
        <v>Grupo A</v>
      </c>
      <c r="AS41" s="366" t="str">
        <f t="shared" si="7"/>
        <v>Grupo A</v>
      </c>
      <c r="AT41" s="190" t="str">
        <f>IF(COUNT($T$26:$T$27)&lt;2,"",IF($T$26&gt;$T$27,"V",IF($T$26&lt;$T$27,"D","Empate??")))</f>
        <v/>
      </c>
      <c r="AU41" s="191" t="str">
        <f>IF(COUNT($T$26:$T$27)&lt;2,"",$T$26)</f>
        <v/>
      </c>
      <c r="AV41" s="192" t="str">
        <f>IF(COUNT($T$26:$T$27)&lt;2,"",$T$27)</f>
        <v/>
      </c>
      <c r="AW41" s="193" t="str">
        <f t="shared" si="3"/>
        <v/>
      </c>
      <c r="AX41" s="192" t="str">
        <f>IF(COUNT($T$26:$T$27)&lt;2,"",SUM($U$26:$W$26))</f>
        <v/>
      </c>
      <c r="AY41" s="194" t="str">
        <f>IF(COUNT($T$26:$T$27)&lt;2,"",SUM($U$27:$W$27))</f>
        <v/>
      </c>
      <c r="AZ41" s="195" t="str">
        <f t="shared" si="2"/>
        <v/>
      </c>
    </row>
    <row r="42" spans="2:52" ht="15.75" hidden="1" customHeight="1" thickBot="1">
      <c r="B42" s="126"/>
      <c r="C42" s="317" t="str">
        <f>IF(R13="","2º do grupo C",R13)</f>
        <v>2º do grupo C</v>
      </c>
      <c r="D42" s="318"/>
      <c r="E42" s="69"/>
      <c r="F42" s="69"/>
      <c r="G42" s="70"/>
      <c r="H42" s="35" t="str">
        <f>IF(COUNT(E42:G42)&lt;1,"",IF(SUM(IF(E42&gt;E44,1,0),IF(F42&gt;F44,1,0),IF(G42&gt;G44,1,0))&gt;2,"??",SUM(IF(E42&gt;E44,1,0),IF(F42&gt;F44,1,0),IF(G42&gt;G44,1,0))))</f>
        <v/>
      </c>
      <c r="I42" s="36"/>
      <c r="J42" s="40"/>
      <c r="K42" s="59"/>
      <c r="L42" s="55"/>
      <c r="M42" s="42"/>
      <c r="N42" s="42"/>
      <c r="O42" s="42"/>
      <c r="P42" s="36"/>
      <c r="Q42" s="40"/>
      <c r="R42" s="55"/>
      <c r="S42" s="46"/>
      <c r="T42" s="55"/>
      <c r="U42" s="55"/>
      <c r="V42" s="60"/>
      <c r="W42" s="53"/>
      <c r="X42" s="48"/>
      <c r="Y42" s="53"/>
      <c r="Z42" s="53"/>
      <c r="AA42" s="53"/>
      <c r="AB42" s="53"/>
      <c r="AC42" s="53"/>
      <c r="AD42" s="54"/>
      <c r="AE42" s="113"/>
      <c r="AN42" s="196">
        <f>IF($Q26="","",$Q26)</f>
        <v>22</v>
      </c>
      <c r="AO42" s="175" t="str">
        <f t="shared" si="6"/>
        <v>Grupo C</v>
      </c>
      <c r="AP42" s="358" t="str">
        <f>IF($R$27="","",$R$27)</f>
        <v>D Pereira/M Conceição (Centro)</v>
      </c>
      <c r="AQ42" s="359" t="str">
        <f t="shared" si="7"/>
        <v>Grupo A</v>
      </c>
      <c r="AR42" s="359" t="str">
        <f t="shared" si="7"/>
        <v>Grupo A</v>
      </c>
      <c r="AS42" s="360" t="str">
        <f t="shared" si="7"/>
        <v>Grupo A</v>
      </c>
      <c r="AT42" s="176" t="str">
        <f>IF(COUNT($T$26:$T$27)&lt;2,"",IF($T$26&lt;$T$27,"V",IF($T$26&gt;$T$27,"D","Empate??")))</f>
        <v/>
      </c>
      <c r="AU42" s="177" t="str">
        <f>IF(COUNT($T$26:$T$27)&lt;2,"",$T$27)</f>
        <v/>
      </c>
      <c r="AV42" s="178" t="str">
        <f>IF(COUNT($T$26:$T$27)&lt;2,"",$T$26)</f>
        <v/>
      </c>
      <c r="AW42" s="179" t="str">
        <f t="shared" si="3"/>
        <v/>
      </c>
      <c r="AX42" s="178" t="str">
        <f>IF(COUNT($T$26:$T$27)&lt;2,"",SUM($U$27:$W$27))</f>
        <v/>
      </c>
      <c r="AY42" s="180" t="str">
        <f>IF(COUNT($T$26:$T$27)&lt;2,"",SUM($U$26:$W$26))</f>
        <v/>
      </c>
      <c r="AZ42" s="181" t="str">
        <f t="shared" si="2"/>
        <v/>
      </c>
    </row>
    <row r="43" spans="2:52" ht="15.75" hidden="1" customHeight="1">
      <c r="B43" s="126"/>
      <c r="C43" s="68"/>
      <c r="D43" s="37"/>
      <c r="E43" s="55"/>
      <c r="F43" s="42"/>
      <c r="G43" s="44"/>
      <c r="H43" s="63">
        <v>28</v>
      </c>
      <c r="I43" s="322" t="str">
        <f>IF(OR(H42="",H44="")=TRUE,"2ª Meia Final-Jogador2",IF(H42&gt;H44,C42,C44))</f>
        <v>2ª Meia Final-Jogador2</v>
      </c>
      <c r="J43" s="317"/>
      <c r="K43" s="318"/>
      <c r="L43" s="69"/>
      <c r="M43" s="69"/>
      <c r="N43" s="70"/>
      <c r="O43" s="35" t="str">
        <f>IF(COUNT(L43:N43)&lt;1,"",IF(SUM(IF(L39&lt;L43,1,0),IF(M39&lt;M43,1,0),IF(N39&lt;N43,1,0))&gt;2,"??",SUM(IF(L39&lt;L43,1,0),IF(M39&lt;M43,1,0),IF(N39&lt;N43,1,0))))</f>
        <v/>
      </c>
      <c r="P43" s="36"/>
      <c r="Q43" s="40"/>
      <c r="R43" s="55"/>
      <c r="S43" s="55"/>
      <c r="T43" s="55"/>
      <c r="U43" s="55"/>
      <c r="V43" s="55"/>
      <c r="W43" s="54"/>
      <c r="X43" s="68"/>
      <c r="Y43" s="54"/>
      <c r="Z43" s="54"/>
      <c r="AA43" s="54"/>
      <c r="AB43" s="54"/>
      <c r="AC43" s="54"/>
      <c r="AD43" s="54"/>
      <c r="AE43" s="113"/>
      <c r="AN43" s="197">
        <f>IF($X16="","",$X16)</f>
        <v>7</v>
      </c>
      <c r="AO43" s="198" t="str">
        <f>IF($X$5="","",$X$5)</f>
        <v>Grupo D</v>
      </c>
      <c r="AP43" s="361" t="str">
        <f>IF($Y$16="","",$Y$16)</f>
        <v>C Abreu/M Marques (Lisboa)</v>
      </c>
      <c r="AQ43" s="362" t="str">
        <f t="shared" si="7"/>
        <v>Grupo A</v>
      </c>
      <c r="AR43" s="362" t="str">
        <f t="shared" si="7"/>
        <v>Grupo A</v>
      </c>
      <c r="AS43" s="363" t="str">
        <f t="shared" si="7"/>
        <v>Grupo A</v>
      </c>
      <c r="AT43" s="199" t="str">
        <f>IF(COUNT($AA$16:$AA$17)&lt;2,"",IF($AA$16&gt;$AA$17,"V",IF($AA$16&lt;$AA$17,"D","Empate??")))</f>
        <v/>
      </c>
      <c r="AU43" s="200" t="str">
        <f>IF(COUNT($AA$16:$AA$17)&lt;2,"",$AA$16)</f>
        <v/>
      </c>
      <c r="AV43" s="201" t="str">
        <f>IF(COUNT($AA$16:$AA$17)&lt;2,"",$AA$17)</f>
        <v/>
      </c>
      <c r="AW43" s="202" t="str">
        <f t="shared" si="3"/>
        <v/>
      </c>
      <c r="AX43" s="201" t="str">
        <f>IF(COUNT($AA$16:$AA$17)&lt;2,"",SUM($AB$16:$AD$16))</f>
        <v/>
      </c>
      <c r="AY43" s="203" t="str">
        <f>IF(COUNT($AA$16:$AA$17)&lt;2,"",SUM($AB$17:$AD$17))</f>
        <v/>
      </c>
      <c r="AZ43" s="204" t="str">
        <f t="shared" si="2"/>
        <v/>
      </c>
    </row>
    <row r="44" spans="2:52" ht="15.75" hidden="1" customHeight="1">
      <c r="B44" s="126"/>
      <c r="C44" s="317" t="str">
        <f>IF(Y12="","1º do grupo D",Y12)</f>
        <v>1º do grupo D</v>
      </c>
      <c r="D44" s="318"/>
      <c r="E44" s="69"/>
      <c r="F44" s="69"/>
      <c r="G44" s="70"/>
      <c r="H44" s="35" t="str">
        <f>IF(COUNT(E44:G44)&lt;1,"",IF(SUM(IF(E42&lt;E44,1,0),IF(F42&lt;F44,1,0),IF(G42&lt;G44,1,0))&gt;2,"??",SUM(IF(E42&lt;E44,1,0),IF(F42&lt;F44,1,0),IF(G42&lt;G44,1,0))))</f>
        <v/>
      </c>
      <c r="I44" s="36"/>
      <c r="J44" s="40"/>
      <c r="K44" s="55"/>
      <c r="L44" s="46"/>
      <c r="M44" s="55"/>
      <c r="N44" s="55"/>
      <c r="O44" s="55"/>
      <c r="P44" s="55"/>
      <c r="Q44" s="40"/>
      <c r="R44" s="55"/>
      <c r="S44" s="55"/>
      <c r="T44" s="55"/>
      <c r="U44" s="55"/>
      <c r="V44" s="55"/>
      <c r="W44" s="54"/>
      <c r="X44" s="68"/>
      <c r="Y44" s="54"/>
      <c r="Z44" s="54"/>
      <c r="AA44" s="54"/>
      <c r="AB44" s="54"/>
      <c r="AC44" s="54"/>
      <c r="AD44" s="54"/>
      <c r="AE44" s="113"/>
      <c r="AN44" s="205">
        <f>IF($X16="","",$X16)</f>
        <v>7</v>
      </c>
      <c r="AO44" s="206" t="str">
        <f t="shared" ref="AO44:AO54" si="8">IF($X$5="","",$X$5)</f>
        <v>Grupo D</v>
      </c>
      <c r="AP44" s="346" t="str">
        <f>IF($Y$17="","",$Y$17)</f>
        <v/>
      </c>
      <c r="AQ44" s="347" t="str">
        <f t="shared" si="7"/>
        <v>Grupo A</v>
      </c>
      <c r="AR44" s="347" t="str">
        <f t="shared" si="7"/>
        <v>Grupo A</v>
      </c>
      <c r="AS44" s="348" t="str">
        <f t="shared" si="7"/>
        <v>Grupo A</v>
      </c>
      <c r="AT44" s="207" t="str">
        <f>IF(COUNT($AA$16:$AA$17)&lt;2,"",IF($AA$16&lt;$AA$17,"V",IF($AA$16&gt;$AA$17,"D","Empate??")))</f>
        <v/>
      </c>
      <c r="AU44" s="208" t="str">
        <f>IF(COUNT($AA$16:$AA$17)&lt;2,"",$AA$17)</f>
        <v/>
      </c>
      <c r="AV44" s="209" t="str">
        <f>IF(COUNT($AA$16:$AA$17)&lt;2,"",$AA$16)</f>
        <v/>
      </c>
      <c r="AW44" s="210" t="str">
        <f t="shared" si="3"/>
        <v/>
      </c>
      <c r="AX44" s="209" t="str">
        <f>IF(COUNT($AA$16:$AA$17)&lt;2,"",SUM($AB$17:$AD$17))</f>
        <v/>
      </c>
      <c r="AY44" s="211" t="str">
        <f>IF(COUNT($AA$16:$AA$17)&lt;2,"",SUM($AB$16:$AD$16))</f>
        <v/>
      </c>
      <c r="AZ44" s="212" t="str">
        <f t="shared" si="2"/>
        <v/>
      </c>
    </row>
    <row r="45" spans="2:52" ht="11.25" hidden="1" customHeight="1">
      <c r="B45" s="128"/>
      <c r="C45" s="123"/>
      <c r="D45" s="129"/>
      <c r="E45" s="122"/>
      <c r="F45" s="122"/>
      <c r="G45" s="122"/>
      <c r="H45" s="122"/>
      <c r="I45" s="122"/>
      <c r="J45" s="123"/>
      <c r="K45" s="122"/>
      <c r="L45" s="122"/>
      <c r="M45" s="122"/>
      <c r="N45" s="122"/>
      <c r="O45" s="122"/>
      <c r="P45" s="122"/>
      <c r="Q45" s="123"/>
      <c r="R45" s="122"/>
      <c r="S45" s="122"/>
      <c r="T45" s="122"/>
      <c r="U45" s="122"/>
      <c r="V45" s="122"/>
      <c r="W45" s="122"/>
      <c r="X45" s="123"/>
      <c r="Y45" s="122"/>
      <c r="Z45" s="122"/>
      <c r="AA45" s="122"/>
      <c r="AB45" s="122"/>
      <c r="AC45" s="122"/>
      <c r="AD45" s="122"/>
      <c r="AE45" s="124"/>
      <c r="AN45" s="213">
        <f>IF($X18="","",$X18)</f>
        <v>8</v>
      </c>
      <c r="AO45" s="214" t="str">
        <f t="shared" si="8"/>
        <v>Grupo D</v>
      </c>
      <c r="AP45" s="349" t="str">
        <f>IF($Y$18="","",$Y$18)</f>
        <v>G Mouteira/M Maia (Norte)</v>
      </c>
      <c r="AQ45" s="350" t="str">
        <f t="shared" si="7"/>
        <v>Grupo A</v>
      </c>
      <c r="AR45" s="350" t="str">
        <f t="shared" si="7"/>
        <v>Grupo A</v>
      </c>
      <c r="AS45" s="351" t="str">
        <f t="shared" si="7"/>
        <v>Grupo A</v>
      </c>
      <c r="AT45" s="215" t="str">
        <f>IF(COUNT($AA$18:$AA$19)&lt;2,"",IF($AA$18&gt;$AA$19,"V",IF($AA$18&lt;$AA$19,"D","Empate??")))</f>
        <v/>
      </c>
      <c r="AU45" s="216" t="str">
        <f>IF(COUNT($AA$18:$AA$19)&lt;2,"",$AA$18)</f>
        <v/>
      </c>
      <c r="AV45" s="217" t="str">
        <f>IF(COUNT($AA$18:$AA$19)&lt;2,"",$AA$19)</f>
        <v/>
      </c>
      <c r="AW45" s="218" t="str">
        <f t="shared" si="3"/>
        <v/>
      </c>
      <c r="AX45" s="217" t="str">
        <f>IF(COUNT($AA$18:$AA$19)&lt;2,"",SUM($AB$18:$AD$18))</f>
        <v/>
      </c>
      <c r="AY45" s="219" t="str">
        <f>IF(COUNT($AA$18:$AA$19)&lt;2,"",SUM($AB$19:$AD$19))</f>
        <v/>
      </c>
      <c r="AZ45" s="220" t="str">
        <f t="shared" si="2"/>
        <v/>
      </c>
    </row>
    <row r="46" spans="2:52" ht="4.5" hidden="1" customHeight="1">
      <c r="AN46" s="205">
        <f>IF($X18="","",$X18)</f>
        <v>8</v>
      </c>
      <c r="AO46" s="206" t="str">
        <f t="shared" si="8"/>
        <v>Grupo D</v>
      </c>
      <c r="AP46" s="346" t="str">
        <f>IF($Y$19="","",$Y$19)</f>
        <v/>
      </c>
      <c r="AQ46" s="347" t="str">
        <f t="shared" si="7"/>
        <v>Grupo A</v>
      </c>
      <c r="AR46" s="347" t="str">
        <f t="shared" si="7"/>
        <v>Grupo A</v>
      </c>
      <c r="AS46" s="348" t="str">
        <f t="shared" si="7"/>
        <v>Grupo A</v>
      </c>
      <c r="AT46" s="207" t="str">
        <f>IF(COUNT($AA$18:$AA$19)&lt;2,"",IF($AA$18&lt;$AA$19,"V",IF($AA$18&gt;$AA$19,"D","Empate??")))</f>
        <v/>
      </c>
      <c r="AU46" s="208" t="str">
        <f>IF(COUNT($AA$18:$AA$19)&lt;2,"",$AA$19)</f>
        <v/>
      </c>
      <c r="AV46" s="209" t="str">
        <f>IF(COUNT($AA$18:$AA$19)&lt;2,"",$AA$18)</f>
        <v/>
      </c>
      <c r="AW46" s="210" t="str">
        <f t="shared" si="3"/>
        <v/>
      </c>
      <c r="AX46" s="209" t="str">
        <f>IF(COUNT($AA$18:$AA$19)&lt;2,"",SUM($AB$19:$AD$19))</f>
        <v/>
      </c>
      <c r="AY46" s="211" t="str">
        <f>IF(COUNT($AA$18:$AA$19)&lt;2,"",SUM($AB$18:$AD$18))</f>
        <v/>
      </c>
      <c r="AZ46" s="212" t="str">
        <f t="shared" si="2"/>
        <v/>
      </c>
    </row>
    <row r="47" spans="2:52" ht="13.5" hidden="1" thickBot="1">
      <c r="D47" s="54"/>
      <c r="H47" s="125"/>
      <c r="I47" s="61"/>
      <c r="J47" s="167"/>
      <c r="K47" s="61"/>
      <c r="L47" s="61"/>
      <c r="M47" s="61"/>
      <c r="N47" s="61"/>
      <c r="O47" s="61"/>
      <c r="P47" s="61"/>
      <c r="Q47" s="167"/>
      <c r="R47" s="61"/>
      <c r="S47" s="61"/>
      <c r="T47" s="61"/>
      <c r="U47" s="61"/>
      <c r="V47" s="61"/>
      <c r="W47" s="61"/>
      <c r="X47" s="167"/>
      <c r="Y47" s="61"/>
      <c r="Z47" s="61"/>
      <c r="AA47" s="61"/>
      <c r="AB47" s="61"/>
      <c r="AC47" s="61"/>
      <c r="AD47" s="61"/>
      <c r="AE47" s="3"/>
      <c r="AN47" s="221">
        <f>IF($X20="","",$X20)</f>
        <v>15</v>
      </c>
      <c r="AO47" s="222" t="str">
        <f t="shared" si="8"/>
        <v>Grupo D</v>
      </c>
      <c r="AP47" s="349" t="str">
        <f>IF($Y$20="","",$Y$20)</f>
        <v/>
      </c>
      <c r="AQ47" s="350" t="str">
        <f t="shared" si="7"/>
        <v>Grupo A</v>
      </c>
      <c r="AR47" s="350" t="str">
        <f t="shared" si="7"/>
        <v>Grupo A</v>
      </c>
      <c r="AS47" s="351" t="str">
        <f t="shared" si="7"/>
        <v>Grupo A</v>
      </c>
      <c r="AT47" s="223" t="str">
        <f>IF(COUNT($AA$20:$AA$21)&lt;2,"",IF($AA$20&gt;$AA$21,"V",IF($AA$20&lt;$AA$21,"D","Empate??")))</f>
        <v/>
      </c>
      <c r="AU47" s="224" t="str">
        <f>IF(COUNT($AA$20:$AA$21)&lt;2,"",$AA$20)</f>
        <v/>
      </c>
      <c r="AV47" s="225" t="str">
        <f>IF(COUNT($AA$20:$AA$21)&lt;2,"",$AA$21)</f>
        <v/>
      </c>
      <c r="AW47" s="226" t="str">
        <f t="shared" si="3"/>
        <v/>
      </c>
      <c r="AX47" s="225" t="str">
        <f>IF(COUNT($AA$20:$AA$21)&lt;2,"",SUM($AB$20:$AD$20))</f>
        <v/>
      </c>
      <c r="AY47" s="227" t="str">
        <f>IF(COUNT($AA$20:$AA$21)&lt;2,"",SUM($AB$21:$AD$21))</f>
        <v/>
      </c>
      <c r="AZ47" s="228" t="str">
        <f t="shared" si="2"/>
        <v/>
      </c>
    </row>
    <row r="48" spans="2:52" hidden="1">
      <c r="D48" s="54"/>
      <c r="H48" s="126"/>
      <c r="I48" s="336" t="s">
        <v>49</v>
      </c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68"/>
      <c r="Y48" s="337" t="s">
        <v>0</v>
      </c>
      <c r="Z48" s="338"/>
      <c r="AA48" s="338"/>
      <c r="AB48" s="338"/>
      <c r="AC48" s="338"/>
      <c r="AD48" s="339"/>
      <c r="AE48" s="113"/>
      <c r="AN48" s="205">
        <f>IF($X20="","",$X20)</f>
        <v>15</v>
      </c>
      <c r="AO48" s="206" t="str">
        <f t="shared" si="8"/>
        <v>Grupo D</v>
      </c>
      <c r="AP48" s="346" t="str">
        <f>IF($Y$21="","",$Y$21)</f>
        <v/>
      </c>
      <c r="AQ48" s="347" t="str">
        <f t="shared" si="7"/>
        <v>Grupo A</v>
      </c>
      <c r="AR48" s="347" t="str">
        <f t="shared" si="7"/>
        <v>Grupo A</v>
      </c>
      <c r="AS48" s="348" t="str">
        <f t="shared" si="7"/>
        <v>Grupo A</v>
      </c>
      <c r="AT48" s="207" t="str">
        <f>IF(COUNT($AA$20:$AA$21)&lt;2,"",IF($AA$20&lt;$AA$21,"V",IF($AA$20&gt;$AA$21,"D","Empate??")))</f>
        <v/>
      </c>
      <c r="AU48" s="208" t="str">
        <f>IF(COUNT($AA$20:$AA$21)&lt;2,"",$AA$21)</f>
        <v/>
      </c>
      <c r="AV48" s="209" t="str">
        <f>IF(COUNT($AA$20:$AA$21)&lt;2,"",$AA$20)</f>
        <v/>
      </c>
      <c r="AW48" s="210" t="str">
        <f t="shared" si="3"/>
        <v/>
      </c>
      <c r="AX48" s="209" t="str">
        <f>IF(COUNT($AA$20:$AA$21)&lt;2,"",SUM($AB$21:$AD$21))</f>
        <v/>
      </c>
      <c r="AY48" s="211" t="str">
        <f>IF(COUNT($AA$20:$AA$21)&lt;2,"",SUM($AB$20:$AD$20))</f>
        <v/>
      </c>
      <c r="AZ48" s="212" t="str">
        <f t="shared" si="2"/>
        <v/>
      </c>
    </row>
    <row r="49" spans="2:54" ht="13.5" hidden="1" thickBot="1">
      <c r="B49" s="357"/>
      <c r="C49" s="357"/>
      <c r="D49" s="357"/>
      <c r="E49" s="258"/>
      <c r="H49" s="12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68"/>
      <c r="Y49" s="340"/>
      <c r="Z49" s="341"/>
      <c r="AA49" s="341"/>
      <c r="AB49" s="341"/>
      <c r="AC49" s="341"/>
      <c r="AD49" s="342"/>
      <c r="AE49" s="113"/>
      <c r="AN49" s="221">
        <f>IF($X22="","",$X22)</f>
        <v>16</v>
      </c>
      <c r="AO49" s="222" t="str">
        <f t="shared" si="8"/>
        <v>Grupo D</v>
      </c>
      <c r="AP49" s="349" t="str">
        <f>IF($Y$22="","",$Y$22)</f>
        <v>C Abreu/M Marques (Lisboa)</v>
      </c>
      <c r="AQ49" s="350" t="str">
        <f t="shared" si="7"/>
        <v>Grupo A</v>
      </c>
      <c r="AR49" s="350" t="str">
        <f t="shared" si="7"/>
        <v>Grupo A</v>
      </c>
      <c r="AS49" s="351" t="str">
        <f t="shared" si="7"/>
        <v>Grupo A</v>
      </c>
      <c r="AT49" s="223" t="str">
        <f>IF(COUNT($AA$22:$AA$23)&lt;2,"",IF($AA$22&gt;$AA$23,"V",IF($AA$22&lt;$AA$23,"D","Empate??")))</f>
        <v/>
      </c>
      <c r="AU49" s="224" t="str">
        <f>IF(COUNT($AA$22:$AA$23)&lt;2,"",$AA$22)</f>
        <v/>
      </c>
      <c r="AV49" s="225" t="str">
        <f>IF(COUNT($AA$22:$AA$23)&lt;2,"",$AA$23)</f>
        <v/>
      </c>
      <c r="AW49" s="226" t="str">
        <f t="shared" si="3"/>
        <v/>
      </c>
      <c r="AX49" s="225" t="str">
        <f>IF(COUNT($AA$22:$AA$23)&lt;2,"",SUM($AB$22:$AD$22))</f>
        <v/>
      </c>
      <c r="AY49" s="227" t="str">
        <f>IF(COUNT($AA$22:$AA$23)&lt;2,"",SUM($AB$23:$AD$23))</f>
        <v/>
      </c>
      <c r="AZ49" s="228" t="str">
        <f t="shared" si="2"/>
        <v/>
      </c>
    </row>
    <row r="50" spans="2:54" ht="15.75" hidden="1">
      <c r="H50" s="126"/>
      <c r="I50" s="317" t="str">
        <f>IF(I31="1ª Meia Final-Jogador1",CONCATENATE("Vencido do jogo ",H31),IF(I31=C30,C32,C30))</f>
        <v>Vencido do jogo 25</v>
      </c>
      <c r="J50" s="317"/>
      <c r="K50" s="318"/>
      <c r="L50" s="69"/>
      <c r="M50" s="69"/>
      <c r="N50" s="70"/>
      <c r="O50" s="38" t="str">
        <f>IF(COUNT(L50:N50)&lt;1,"",IF(SUM(IF(L50&gt;L54,1,0),IF(M50&gt;M54,1,0),IF(N50&gt;N54,1,0))&gt;2,"??",SUM(IF(L50&gt;L54,1,0),IF(M50&gt;M54,1,0),IF(N50&gt;N54,1,0))))</f>
        <v/>
      </c>
      <c r="P50" s="55"/>
      <c r="Q50" s="40"/>
      <c r="R50" s="55"/>
      <c r="S50" s="55"/>
      <c r="T50" s="55"/>
      <c r="U50" s="55"/>
      <c r="V50" s="55"/>
      <c r="W50" s="54"/>
      <c r="X50" s="68"/>
      <c r="Y50" s="343" t="str">
        <f>IF(X56="5º Classificado","",X56)</f>
        <v/>
      </c>
      <c r="Z50" s="344"/>
      <c r="AA50" s="344"/>
      <c r="AB50" s="344"/>
      <c r="AC50" s="344"/>
      <c r="AD50" s="39" t="s">
        <v>37</v>
      </c>
      <c r="AE50" s="113"/>
      <c r="AN50" s="205">
        <f>IF($X22="","",$X22)</f>
        <v>16</v>
      </c>
      <c r="AO50" s="206" t="str">
        <f t="shared" si="8"/>
        <v>Grupo D</v>
      </c>
      <c r="AP50" s="346" t="str">
        <f>IF($Y$23="","",$Y$23)</f>
        <v>G Mouteira/M Maia (Norte)</v>
      </c>
      <c r="AQ50" s="347" t="str">
        <f t="shared" si="7"/>
        <v>Grupo A</v>
      </c>
      <c r="AR50" s="347" t="str">
        <f t="shared" si="7"/>
        <v>Grupo A</v>
      </c>
      <c r="AS50" s="348" t="str">
        <f t="shared" si="7"/>
        <v>Grupo A</v>
      </c>
      <c r="AT50" s="207" t="str">
        <f>IF(COUNT($AA$22:$AA$23)&lt;2,"",IF($AA$22&lt;$AA$23,"V",IF($AA$22&gt;$AA$23,"D","Empate??")))</f>
        <v/>
      </c>
      <c r="AU50" s="208" t="str">
        <f>IF(COUNT($AA$22:$AA$23)&lt;2,"",$AA$23)</f>
        <v/>
      </c>
      <c r="AV50" s="209" t="str">
        <f>IF(COUNT($AA$22:$AA$23)&lt;2,"",$AA$22)</f>
        <v/>
      </c>
      <c r="AW50" s="210" t="str">
        <f t="shared" si="3"/>
        <v/>
      </c>
      <c r="AX50" s="209" t="str">
        <f>IF(COUNT($AA$22:$AA$23)&lt;2,"",SUM($AB$23:$AD$23))</f>
        <v/>
      </c>
      <c r="AY50" s="211" t="str">
        <f>IF(COUNT($AA$22:$AA$23)&lt;2,"",SUM($AB$22:$AD$22))</f>
        <v/>
      </c>
      <c r="AZ50" s="212" t="str">
        <f t="shared" si="2"/>
        <v/>
      </c>
    </row>
    <row r="51" spans="2:54" ht="15" hidden="1" customHeight="1">
      <c r="H51" s="126"/>
      <c r="I51" s="55"/>
      <c r="J51" s="40"/>
      <c r="K51" s="59"/>
      <c r="L51" s="55"/>
      <c r="M51" s="41"/>
      <c r="N51" s="41"/>
      <c r="O51" s="42"/>
      <c r="P51" s="36"/>
      <c r="Q51" s="40"/>
      <c r="R51" s="55"/>
      <c r="S51" s="55"/>
      <c r="T51" s="55"/>
      <c r="U51" s="55"/>
      <c r="V51" s="60"/>
      <c r="W51" s="53"/>
      <c r="X51" s="48"/>
      <c r="Y51" s="332" t="str">
        <f>IF(Y50="","",IF(Y50=P52,P60,P52))</f>
        <v/>
      </c>
      <c r="Z51" s="333" t="e">
        <f>IF(#REF!="","",IF(#REF!=W51,"","(2º) "))</f>
        <v>#REF!</v>
      </c>
      <c r="AA51" s="333" t="e">
        <f>IF(#REF!="","",IF(#REF!=X51,"","(2º) "))</f>
        <v>#REF!</v>
      </c>
      <c r="AB51" s="333" t="e">
        <f>IF(#REF!="","",IF(#REF!=Y51,"","(2º) "))</f>
        <v>#REF!</v>
      </c>
      <c r="AC51" s="333" t="e">
        <f>IF(#REF!="","",IF(#REF!=Z51,"","(2º) "))</f>
        <v>#REF!</v>
      </c>
      <c r="AD51" s="43" t="s">
        <v>38</v>
      </c>
      <c r="AE51" s="113"/>
      <c r="AN51" s="221">
        <f>IF($X24="","",$X24)</f>
        <v>23</v>
      </c>
      <c r="AO51" s="222" t="str">
        <f t="shared" si="8"/>
        <v>Grupo D</v>
      </c>
      <c r="AP51" s="349" t="str">
        <f>IF($Y$24="","",$Y$24)</f>
        <v>G Mouteira/M Maia (Norte)</v>
      </c>
      <c r="AQ51" s="350" t="str">
        <f t="shared" si="7"/>
        <v>Grupo A</v>
      </c>
      <c r="AR51" s="350" t="str">
        <f t="shared" si="7"/>
        <v>Grupo A</v>
      </c>
      <c r="AS51" s="351" t="str">
        <f t="shared" si="7"/>
        <v>Grupo A</v>
      </c>
      <c r="AT51" s="223" t="str">
        <f>IF(COUNT($AA$24:$AA$25)&lt;2,"",IF($AA$24&gt;$AA$25,"V",IF($AA$24&lt;$AA$25,"D","Empate??")))</f>
        <v/>
      </c>
      <c r="AU51" s="224" t="str">
        <f>IF(COUNT($AA$24:$AA$25)&lt;2,"",$AA$24)</f>
        <v/>
      </c>
      <c r="AV51" s="225" t="str">
        <f>IF(COUNT($AA$24:$AA$25)&lt;2,"",$AA$25)</f>
        <v/>
      </c>
      <c r="AW51" s="226" t="str">
        <f t="shared" si="3"/>
        <v/>
      </c>
      <c r="AX51" s="225" t="str">
        <f>IF(COUNT($AA$24:$AA$25)&lt;2,"",SUM($AB$24:$AD$24))</f>
        <v/>
      </c>
      <c r="AY51" s="227" t="str">
        <f>IF(COUNT($AA$24:$AA$25)&lt;2,"",SUM($AB$25:$AD$25))</f>
        <v/>
      </c>
      <c r="AZ51" s="228" t="str">
        <f t="shared" si="2"/>
        <v/>
      </c>
    </row>
    <row r="52" spans="2:54" ht="15" hidden="1" customHeight="1">
      <c r="H52" s="126"/>
      <c r="I52" s="55"/>
      <c r="J52" s="40"/>
      <c r="K52" s="59"/>
      <c r="L52" s="55"/>
      <c r="M52" s="42"/>
      <c r="N52" s="42"/>
      <c r="O52" s="64">
        <v>33</v>
      </c>
      <c r="P52" s="322" t="str">
        <f>IF(OR(O50="",O54="")=TRUE,"Disputa 5º/6º Jogador1",IF(O50&gt;O54,I50,I54))</f>
        <v>Disputa 5º/6º Jogador1</v>
      </c>
      <c r="Q52" s="317"/>
      <c r="R52" s="317"/>
      <c r="S52" s="318"/>
      <c r="T52" s="69"/>
      <c r="U52" s="69"/>
      <c r="V52" s="69"/>
      <c r="W52" s="45" t="str">
        <f>IF(COUNT(T52:V52)&lt;1,"",IF(SUM(IF(T52&gt;T60,1,0),IF(U52&gt;U60,1,0),IF(V52&gt;V60,1,0))&gt;2,"??",SUM(IF(T52&gt;T60,1,0),IF(U52&gt;U60,1,0),IF(V52&gt;V60,1,0))))</f>
        <v/>
      </c>
      <c r="X52" s="48"/>
      <c r="Y52" s="332" t="str">
        <f>IF(P56="7º Classificado","",P56)</f>
        <v/>
      </c>
      <c r="Z52" s="333"/>
      <c r="AA52" s="333"/>
      <c r="AB52" s="333"/>
      <c r="AC52" s="333"/>
      <c r="AD52" s="43" t="s">
        <v>39</v>
      </c>
      <c r="AE52" s="113"/>
      <c r="AN52" s="205">
        <f>IF($X24="","",$X24)</f>
        <v>23</v>
      </c>
      <c r="AO52" s="206" t="str">
        <f t="shared" si="8"/>
        <v>Grupo D</v>
      </c>
      <c r="AP52" s="346" t="str">
        <f>IF($Y$25="","",$Y$25)</f>
        <v/>
      </c>
      <c r="AQ52" s="347" t="str">
        <f t="shared" si="7"/>
        <v>Grupo A</v>
      </c>
      <c r="AR52" s="347" t="str">
        <f t="shared" si="7"/>
        <v>Grupo A</v>
      </c>
      <c r="AS52" s="348" t="str">
        <f t="shared" si="7"/>
        <v>Grupo A</v>
      </c>
      <c r="AT52" s="207" t="str">
        <f>IF(COUNT($AA$24:$AA$25)&lt;2,"",IF($AA$24&lt;$AA$25,"V",IF($AA$24&gt;$AA$25,"D","Empate??")))</f>
        <v/>
      </c>
      <c r="AU52" s="208" t="str">
        <f>IF(COUNT($AA$24:$AA$25)&lt;2,"",$AA$25)</f>
        <v/>
      </c>
      <c r="AV52" s="209" t="str">
        <f>IF(COUNT($AA$24:$AA$25)&lt;2,"",$AA$24)</f>
        <v/>
      </c>
      <c r="AW52" s="210" t="str">
        <f t="shared" si="3"/>
        <v/>
      </c>
      <c r="AX52" s="209" t="str">
        <f>IF(COUNT($AA$24:$AA$25)&lt;2,"",SUM($AB$25:$AD$25))</f>
        <v/>
      </c>
      <c r="AY52" s="211" t="str">
        <f>IF(COUNT($AA$24:$AA$25)&lt;2,"",SUM($AB$24:$AD$24))</f>
        <v/>
      </c>
      <c r="AZ52" s="212" t="str">
        <f t="shared" si="2"/>
        <v/>
      </c>
    </row>
    <row r="53" spans="2:54" ht="15.75" hidden="1" thickBot="1">
      <c r="H53" s="126"/>
      <c r="I53" s="55"/>
      <c r="J53" s="40"/>
      <c r="K53" s="59"/>
      <c r="L53" s="55"/>
      <c r="M53" s="42"/>
      <c r="N53" s="42"/>
      <c r="O53" s="42"/>
      <c r="P53" s="36"/>
      <c r="Q53" s="40"/>
      <c r="R53" s="55"/>
      <c r="S53" s="46"/>
      <c r="T53" s="42"/>
      <c r="U53" s="42"/>
      <c r="V53" s="67"/>
      <c r="W53" s="47"/>
      <c r="X53" s="48"/>
      <c r="Y53" s="334" t="str">
        <f>IF(Y52="","",IF(Y52=P54,P58,P54))</f>
        <v/>
      </c>
      <c r="Z53" s="335" t="e">
        <f>IF(#REF!="","",IF(#REF!=W53,"","(2º) "))</f>
        <v>#REF!</v>
      </c>
      <c r="AA53" s="335" t="e">
        <f>IF(#REF!="","",IF(#REF!=X53,"","(2º) "))</f>
        <v>#REF!</v>
      </c>
      <c r="AB53" s="335" t="e">
        <f>IF(#REF!="","",IF(#REF!=Y53,"","(2º) "))</f>
        <v>#REF!</v>
      </c>
      <c r="AC53" s="335" t="e">
        <f>IF(#REF!="","",IF(#REF!=Z53,"","(2º) "))</f>
        <v>#REF!</v>
      </c>
      <c r="AD53" s="164" t="s">
        <v>40</v>
      </c>
      <c r="AE53" s="113"/>
      <c r="AN53" s="221">
        <f>IF($X26="","",$X26)</f>
        <v>24</v>
      </c>
      <c r="AO53" s="222" t="str">
        <f t="shared" si="8"/>
        <v>Grupo D</v>
      </c>
      <c r="AP53" s="349" t="str">
        <f>IF($Y$26="","",$Y$26)</f>
        <v/>
      </c>
      <c r="AQ53" s="350" t="str">
        <f t="shared" si="7"/>
        <v>Grupo A</v>
      </c>
      <c r="AR53" s="350" t="str">
        <f t="shared" si="7"/>
        <v>Grupo A</v>
      </c>
      <c r="AS53" s="351" t="str">
        <f t="shared" si="7"/>
        <v>Grupo A</v>
      </c>
      <c r="AT53" s="223" t="str">
        <f>IF(COUNT($AA$26:$AA$27)&lt;2,"",IF($AA$26&gt;$AA$27,"V",IF($AA$26&lt;$AA$27,"D","Empate??")))</f>
        <v/>
      </c>
      <c r="AU53" s="224" t="str">
        <f>IF(COUNT($AA$26:$AA$27)&lt;2,"",$AA$26)</f>
        <v/>
      </c>
      <c r="AV53" s="225" t="str">
        <f>IF(COUNT($AA$26:$AA$27)&lt;2,"",$AA$27)</f>
        <v/>
      </c>
      <c r="AW53" s="226" t="str">
        <f t="shared" si="3"/>
        <v/>
      </c>
      <c r="AX53" s="225" t="str">
        <f>IF(COUNT($AA$26:$AA$27)&lt;2,"",SUM($AB$26:$AD$26))</f>
        <v/>
      </c>
      <c r="AY53" s="227" t="str">
        <f>IF(COUNT($AA$26:$AA$27)&lt;2,"",SUM($AB$27:$AD$27))</f>
        <v/>
      </c>
      <c r="AZ53" s="228" t="str">
        <f t="shared" si="2"/>
        <v/>
      </c>
    </row>
    <row r="54" spans="2:54" ht="15.75" hidden="1" thickBot="1">
      <c r="H54" s="126"/>
      <c r="I54" s="317" t="str">
        <f>IF(I35="1ª Meia Final-Jogador2",CONCATENATE("Vencido do jogo ",H35),IF(I35=C34,C36,C34))</f>
        <v>Vencido do jogo 26</v>
      </c>
      <c r="J54" s="317"/>
      <c r="K54" s="318"/>
      <c r="L54" s="69"/>
      <c r="M54" s="69"/>
      <c r="N54" s="70"/>
      <c r="O54" s="38" t="str">
        <f>IF(COUNT(L54:N54)&lt;1,"",IF(SUM(IF(L50&lt;L54,1,0),IF(M50&lt;M54,1,0),IF(N50&lt;N54,1,0))&gt;2,"??",SUM(IF(L50&lt;L54,1,0),IF(M50&lt;M54,1,0),IF(N50&lt;N54,1,0))))</f>
        <v/>
      </c>
      <c r="P54" s="319" t="str">
        <f>IF(P52="Disputa 5º/6º Jogador1","Disputa 7º/8º  Jogador1",IF(P52=I50,I54,I50))</f>
        <v>Disputa 7º/8º  Jogador1</v>
      </c>
      <c r="Q54" s="352"/>
      <c r="R54" s="353"/>
      <c r="S54" s="69"/>
      <c r="T54" s="69"/>
      <c r="U54" s="69"/>
      <c r="V54" s="49" t="str">
        <f>IF(COUNT(S54:U54)&lt;1,"",IF(SUM(IF(S54&gt;S58,1,0),IF(T54&gt;T58,1,0),IF(U54&gt;U58,1,0))&gt;2,"??",SUM(IF(S54&gt;S58,1,0),IF(T54&gt;T58,1,0),IF(U54&gt;U58,1,0))))</f>
        <v/>
      </c>
      <c r="W54" s="50"/>
      <c r="X54" s="48"/>
      <c r="Y54" s="53"/>
      <c r="Z54" s="53"/>
      <c r="AA54" s="53"/>
      <c r="AB54" s="53"/>
      <c r="AC54" s="53"/>
      <c r="AD54" s="54"/>
      <c r="AE54" s="113"/>
      <c r="AN54" s="229">
        <f>IF($X26="","",$X26)</f>
        <v>24</v>
      </c>
      <c r="AO54" s="230" t="str">
        <f t="shared" si="8"/>
        <v>Grupo D</v>
      </c>
      <c r="AP54" s="354" t="str">
        <f>IF($Y$27="","",$Y$27)</f>
        <v>C Abreu/M Marques (Lisboa)</v>
      </c>
      <c r="AQ54" s="355" t="str">
        <f t="shared" si="7"/>
        <v>Grupo A</v>
      </c>
      <c r="AR54" s="355" t="str">
        <f t="shared" si="7"/>
        <v>Grupo A</v>
      </c>
      <c r="AS54" s="356" t="str">
        <f t="shared" si="7"/>
        <v>Grupo A</v>
      </c>
      <c r="AT54" s="231" t="str">
        <f>IF(COUNT($AA$26:$AA$27)&lt;2,"",IF($AA$26&lt;$AA$27,"V",IF($AA$26&gt;$AA$27,"D","Empate??")))</f>
        <v/>
      </c>
      <c r="AU54" s="232" t="str">
        <f>IF(COUNT($AA$26:$AA$27)&lt;2,"",$AA$27)</f>
        <v/>
      </c>
      <c r="AV54" s="233" t="str">
        <f>IF(COUNT($AA$26:$AA$27)&lt;2,"",$AA$26)</f>
        <v/>
      </c>
      <c r="AW54" s="234" t="str">
        <f t="shared" si="3"/>
        <v/>
      </c>
      <c r="AX54" s="233" t="str">
        <f>IF(COUNT($AA$26:$AA$27)&lt;2,"",SUM($AB$27:$AD$27))</f>
        <v/>
      </c>
      <c r="AY54" s="235" t="str">
        <f>IF(COUNT($AA$26:$AA$27)&lt;2,"",SUM($AB$26:$AD$26))</f>
        <v/>
      </c>
      <c r="AZ54" s="236" t="str">
        <f t="shared" si="2"/>
        <v/>
      </c>
    </row>
    <row r="55" spans="2:54" ht="12.75" hidden="1" customHeight="1">
      <c r="H55" s="126"/>
      <c r="I55" s="55"/>
      <c r="J55" s="40"/>
      <c r="K55" s="59"/>
      <c r="L55" s="46"/>
      <c r="M55" s="42"/>
      <c r="N55" s="42"/>
      <c r="O55" s="42"/>
      <c r="P55" s="55"/>
      <c r="Q55" s="51"/>
      <c r="R55" s="46"/>
      <c r="S55" s="46"/>
      <c r="T55" s="41"/>
      <c r="U55" s="41"/>
      <c r="V55" s="52"/>
      <c r="W55" s="50"/>
      <c r="X55" s="48"/>
      <c r="Y55" s="53"/>
      <c r="Z55" s="53"/>
      <c r="AA55" s="53"/>
      <c r="AB55" s="53"/>
      <c r="AC55" s="53"/>
      <c r="AD55" s="54"/>
      <c r="AE55" s="113"/>
      <c r="AN55" s="250"/>
      <c r="AO55" s="295"/>
      <c r="AP55" s="295"/>
      <c r="AQ55" s="237"/>
      <c r="AR55" s="238"/>
      <c r="AS55" s="295"/>
      <c r="AT55" s="239"/>
      <c r="AU55" s="180"/>
      <c r="AV55" s="180"/>
      <c r="AW55" s="239"/>
      <c r="AX55" s="180"/>
      <c r="AY55" s="180"/>
      <c r="AZ55" s="239"/>
      <c r="BA55" s="108"/>
      <c r="BB55" s="108"/>
    </row>
    <row r="56" spans="2:54" ht="15.75" hidden="1">
      <c r="H56" s="126"/>
      <c r="I56" s="55"/>
      <c r="J56" s="40"/>
      <c r="K56" s="59"/>
      <c r="L56" s="55"/>
      <c r="M56" s="42"/>
      <c r="N56" s="42"/>
      <c r="O56" s="42"/>
      <c r="P56" s="345" t="str">
        <f>IF(OR(V54="",V58="")=TRUE,"7º Classificado",IF(V54&gt;V58,P54,P58))</f>
        <v>7º Classificado</v>
      </c>
      <c r="Q56" s="345"/>
      <c r="R56" s="345"/>
      <c r="S56" s="345"/>
      <c r="T56" s="345"/>
      <c r="U56" s="345"/>
      <c r="V56" s="65">
        <v>35</v>
      </c>
      <c r="W56" s="66">
        <v>36</v>
      </c>
      <c r="X56" s="329" t="str">
        <f>IF(OR(W52="",W60="")=TRUE,"5º Classificado",IF(W52&gt;W60,P52,P60))</f>
        <v>5º Classificado</v>
      </c>
      <c r="Y56" s="330"/>
      <c r="Z56" s="330"/>
      <c r="AA56" s="330"/>
      <c r="AB56" s="330"/>
      <c r="AC56" s="330"/>
      <c r="AD56" s="54"/>
      <c r="AE56" s="113"/>
      <c r="AN56" s="250"/>
      <c r="AO56" s="295"/>
      <c r="AP56" s="295"/>
      <c r="AQ56" s="237"/>
      <c r="AR56" s="238"/>
      <c r="AS56" s="295"/>
      <c r="AT56" s="239"/>
      <c r="AU56" s="180"/>
      <c r="AV56" s="180"/>
      <c r="AW56" s="239"/>
      <c r="AX56" s="180"/>
      <c r="AY56" s="180"/>
      <c r="AZ56" s="239"/>
      <c r="BA56" s="108"/>
      <c r="BB56" s="108"/>
    </row>
    <row r="57" spans="2:54" ht="15" hidden="1">
      <c r="H57" s="126"/>
      <c r="I57" s="55"/>
      <c r="J57" s="40"/>
      <c r="K57" s="59"/>
      <c r="L57" s="55"/>
      <c r="M57" s="42"/>
      <c r="N57" s="42"/>
      <c r="O57" s="42"/>
      <c r="P57" s="55"/>
      <c r="Q57" s="40"/>
      <c r="R57" s="55"/>
      <c r="S57" s="55"/>
      <c r="T57" s="42"/>
      <c r="U57" s="42"/>
      <c r="V57" s="56"/>
      <c r="W57" s="50"/>
      <c r="X57" s="48"/>
      <c r="Y57" s="331"/>
      <c r="Z57" s="331"/>
      <c r="AA57" s="331"/>
      <c r="AB57" s="331"/>
      <c r="AC57" s="331"/>
      <c r="AD57" s="54"/>
      <c r="AE57" s="113"/>
      <c r="AN57" s="250"/>
      <c r="AO57" s="295"/>
      <c r="AP57" s="295"/>
      <c r="AQ57" s="237"/>
      <c r="AR57" s="238"/>
      <c r="AS57" s="295"/>
      <c r="AT57" s="239"/>
      <c r="AU57" s="180"/>
      <c r="AV57" s="180"/>
      <c r="AW57" s="239"/>
      <c r="AX57" s="180"/>
      <c r="AY57" s="180"/>
      <c r="AZ57" s="239"/>
      <c r="BA57" s="108"/>
      <c r="BB57" s="108"/>
    </row>
    <row r="58" spans="2:54" ht="15" hidden="1">
      <c r="H58" s="126"/>
      <c r="I58" s="317" t="str">
        <f>IF(I39="2ª Meia Final-Jogador1",CONCATENATE("Vencido do jogo ",H39),IF(I39=C38,C40,C38))</f>
        <v>Vencido do jogo 27</v>
      </c>
      <c r="J58" s="317"/>
      <c r="K58" s="318"/>
      <c r="L58" s="69"/>
      <c r="M58" s="69"/>
      <c r="N58" s="70"/>
      <c r="O58" s="38" t="str">
        <f>IF(COUNT(L58:N58)&lt;1,"",IF(SUM(IF(L58&gt;L62,1,0),IF(M58&gt;M62,1,0),IF(N58&gt;N62,1,0))&gt;2,"??",SUM(IF(L58&gt;L62,1,0),IF(M58&gt;M62,1,0),IF(N58&gt;N62,1,0))))</f>
        <v/>
      </c>
      <c r="P58" s="319" t="str">
        <f>IF(P60="Disputa 5º/6º Jogador2","Disputa 7º/8º  Jogador2",IF(P60=I58,I62,I58))</f>
        <v>Disputa 7º/8º  Jogador2</v>
      </c>
      <c r="Q58" s="320"/>
      <c r="R58" s="321"/>
      <c r="S58" s="69"/>
      <c r="T58" s="69"/>
      <c r="U58" s="69"/>
      <c r="V58" s="49" t="str">
        <f>IF(COUNT(S58:U58)&lt;1,"",IF(SUM(IF(S54&lt;S58,1,0),IF(T54&lt;T58,1,0),IF(U54&lt;U58,1,0))&gt;2,"??",SUM(IF(S54&lt;S58,1,0),IF(T54&lt;T58,1,0),IF(U54&lt;U58,1,0))))</f>
        <v/>
      </c>
      <c r="W58" s="50"/>
      <c r="X58" s="48"/>
      <c r="Y58" s="53"/>
      <c r="Z58" s="53"/>
      <c r="AA58" s="53"/>
      <c r="AB58" s="57"/>
      <c r="AC58" s="57"/>
      <c r="AD58" s="58"/>
      <c r="AE58" s="113"/>
      <c r="AN58" s="250"/>
      <c r="AO58" s="295"/>
      <c r="AP58" s="295"/>
      <c r="AQ58" s="237"/>
      <c r="AR58" s="238"/>
      <c r="AS58" s="295"/>
      <c r="AT58" s="239"/>
      <c r="AU58" s="180"/>
      <c r="AV58" s="180"/>
      <c r="AW58" s="239"/>
      <c r="AX58" s="180"/>
      <c r="AY58" s="180"/>
      <c r="AZ58" s="239"/>
      <c r="BA58" s="108"/>
      <c r="BB58" s="108"/>
    </row>
    <row r="59" spans="2:54" hidden="1">
      <c r="H59" s="126"/>
      <c r="I59" s="55"/>
      <c r="J59" s="40"/>
      <c r="K59" s="59"/>
      <c r="L59" s="55"/>
      <c r="M59" s="41"/>
      <c r="N59" s="41"/>
      <c r="O59" s="42"/>
      <c r="P59" s="36"/>
      <c r="Q59" s="51"/>
      <c r="R59" s="46"/>
      <c r="S59" s="55"/>
      <c r="T59" s="42"/>
      <c r="U59" s="42"/>
      <c r="V59" s="67"/>
      <c r="W59" s="50"/>
      <c r="X59" s="48"/>
      <c r="Y59" s="53"/>
      <c r="Z59" s="53"/>
      <c r="AA59" s="53"/>
      <c r="AB59" s="53"/>
      <c r="AC59" s="53"/>
      <c r="AD59" s="54"/>
      <c r="AE59" s="113"/>
    </row>
    <row r="60" spans="2:54" ht="15" hidden="1">
      <c r="H60" s="126"/>
      <c r="I60" s="55"/>
      <c r="J60" s="40"/>
      <c r="K60" s="59"/>
      <c r="L60" s="55"/>
      <c r="M60" s="42"/>
      <c r="N60" s="42"/>
      <c r="O60" s="64">
        <v>34</v>
      </c>
      <c r="P60" s="322" t="str">
        <f>IF(OR(O58="",O62="")=TRUE,"Disputa 5º/6º Jogador2",IF(O58&gt;O62,I58,I62))</f>
        <v>Disputa 5º/6º Jogador2</v>
      </c>
      <c r="Q60" s="317"/>
      <c r="R60" s="317"/>
      <c r="S60" s="318"/>
      <c r="T60" s="69"/>
      <c r="U60" s="69"/>
      <c r="V60" s="69"/>
      <c r="W60" s="45" t="str">
        <f>IF(COUNT(T60:V60)&lt;1,"",IF(SUM(IF(T52&lt;T60,1,0),IF(U52&lt;U60,1,0),IF(V52&lt;V60,1,0))&gt;2,"??",SUM(IF(T52&lt;T60,1,0),IF(U52&lt;U60,1,0),IF(V52&lt;V60,1,0))))</f>
        <v/>
      </c>
      <c r="X60" s="48"/>
      <c r="Y60" s="53"/>
      <c r="Z60" s="53"/>
      <c r="AA60" s="53"/>
      <c r="AB60" s="53"/>
      <c r="AC60" s="53"/>
      <c r="AD60" s="54"/>
      <c r="AE60" s="113"/>
    </row>
    <row r="61" spans="2:54" ht="15" hidden="1" customHeight="1">
      <c r="H61" s="126"/>
      <c r="I61" s="55"/>
      <c r="J61" s="40"/>
      <c r="K61" s="59"/>
      <c r="L61" s="55"/>
      <c r="M61" s="42"/>
      <c r="N61" s="42"/>
      <c r="O61" s="42"/>
      <c r="P61" s="36"/>
      <c r="Q61" s="40"/>
      <c r="R61" s="55"/>
      <c r="S61" s="46"/>
      <c r="T61" s="55"/>
      <c r="U61" s="55"/>
      <c r="V61" s="60"/>
      <c r="W61" s="53"/>
      <c r="X61" s="48"/>
      <c r="Y61" s="53"/>
      <c r="Z61" s="53"/>
      <c r="AA61" s="53"/>
      <c r="AB61" s="53"/>
      <c r="AC61" s="53"/>
      <c r="AD61" s="54"/>
      <c r="AE61" s="113"/>
    </row>
    <row r="62" spans="2:54" ht="15" hidden="1">
      <c r="H62" s="126"/>
      <c r="I62" s="317" t="str">
        <f>IF(I43="2ª Meia Final-Jogador2",CONCATENATE("Vencido do jogo ",H43),IF(I43=C42,C44,C42))</f>
        <v>Vencido do jogo 28</v>
      </c>
      <c r="J62" s="317"/>
      <c r="K62" s="318"/>
      <c r="L62" s="69"/>
      <c r="M62" s="69"/>
      <c r="N62" s="70"/>
      <c r="O62" s="35" t="str">
        <f>IF(COUNT(L62:N62)&lt;1,"",IF(SUM(IF(L58&lt;L62,1,0),IF(M58&lt;M62,1,0),IF(N58&lt;N62,1,0))&gt;2,"??",SUM(IF(L58&lt;L62,1,0),IF(M58&lt;M62,1,0),IF(N58&lt;N62,1,0))))</f>
        <v/>
      </c>
      <c r="P62" s="36"/>
      <c r="Q62" s="40"/>
      <c r="R62" s="55"/>
      <c r="S62" s="55"/>
      <c r="T62" s="55"/>
      <c r="U62" s="55"/>
      <c r="V62" s="55"/>
      <c r="W62" s="54"/>
      <c r="X62" s="68"/>
      <c r="Y62" s="54"/>
      <c r="Z62" s="54"/>
      <c r="AA62" s="54"/>
      <c r="AB62" s="54"/>
      <c r="AC62" s="54"/>
      <c r="AD62" s="54"/>
      <c r="AE62" s="113"/>
    </row>
    <row r="63" spans="2:54" hidden="1">
      <c r="H63" s="128"/>
      <c r="I63" s="168"/>
      <c r="J63" s="169"/>
      <c r="K63" s="168"/>
      <c r="L63" s="170"/>
      <c r="M63" s="168"/>
      <c r="N63" s="168"/>
      <c r="O63" s="168"/>
      <c r="P63" s="168"/>
      <c r="Q63" s="169"/>
      <c r="R63" s="168"/>
      <c r="S63" s="168"/>
      <c r="T63" s="168"/>
      <c r="U63" s="168"/>
      <c r="V63" s="168"/>
      <c r="W63" s="122"/>
      <c r="X63" s="123"/>
      <c r="Y63" s="122"/>
      <c r="Z63" s="122"/>
      <c r="AA63" s="122"/>
      <c r="AB63" s="122"/>
      <c r="AC63" s="122"/>
      <c r="AD63" s="122"/>
      <c r="AE63" s="124"/>
    </row>
    <row r="64" spans="2:54" ht="6" hidden="1" customHeight="1">
      <c r="H64" s="54"/>
    </row>
    <row r="65" spans="4:54" ht="13.5" hidden="1" thickBot="1">
      <c r="D65" s="54"/>
      <c r="H65" s="125"/>
      <c r="I65" s="61"/>
      <c r="J65" s="167"/>
      <c r="K65" s="61"/>
      <c r="L65" s="61"/>
      <c r="M65" s="61"/>
      <c r="N65" s="61"/>
      <c r="O65" s="61"/>
      <c r="P65" s="61"/>
      <c r="Q65" s="167"/>
      <c r="R65" s="61"/>
      <c r="S65" s="61"/>
      <c r="T65" s="61"/>
      <c r="U65" s="61"/>
      <c r="V65" s="61"/>
      <c r="W65" s="61"/>
      <c r="X65" s="167"/>
      <c r="Y65" s="61"/>
      <c r="Z65" s="61"/>
      <c r="AA65" s="61"/>
      <c r="AB65" s="61"/>
      <c r="AC65" s="61"/>
      <c r="AD65" s="61"/>
      <c r="AE65" s="3"/>
      <c r="AN65" s="250"/>
      <c r="AO65" s="295"/>
      <c r="AP65" s="327"/>
      <c r="AQ65" s="327"/>
      <c r="AR65" s="327"/>
      <c r="AS65" s="327"/>
      <c r="AT65" s="239"/>
      <c r="AU65" s="180"/>
      <c r="AV65" s="180"/>
      <c r="AW65" s="239"/>
      <c r="AX65" s="180"/>
      <c r="AY65" s="180"/>
      <c r="AZ65" s="239"/>
    </row>
    <row r="66" spans="4:54" hidden="1">
      <c r="D66" s="54"/>
      <c r="H66" s="126"/>
      <c r="I66" s="336" t="s">
        <v>66</v>
      </c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68"/>
      <c r="Y66" s="337" t="s">
        <v>0</v>
      </c>
      <c r="Z66" s="338"/>
      <c r="AA66" s="338"/>
      <c r="AB66" s="338"/>
      <c r="AC66" s="338"/>
      <c r="AD66" s="339"/>
      <c r="AE66" s="113"/>
      <c r="AN66" s="250"/>
      <c r="AO66" s="295"/>
      <c r="AP66" s="327"/>
      <c r="AQ66" s="327"/>
      <c r="AR66" s="327"/>
      <c r="AS66" s="327"/>
      <c r="AT66" s="239"/>
      <c r="AU66" s="180"/>
      <c r="AV66" s="180"/>
      <c r="AW66" s="239"/>
      <c r="AX66" s="180"/>
      <c r="AY66" s="180"/>
      <c r="AZ66" s="239"/>
    </row>
    <row r="67" spans="4:54" ht="13.5" hidden="1" thickBot="1">
      <c r="D67" s="54"/>
      <c r="H67" s="12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68"/>
      <c r="Y67" s="340"/>
      <c r="Z67" s="341"/>
      <c r="AA67" s="341"/>
      <c r="AB67" s="341"/>
      <c r="AC67" s="341"/>
      <c r="AD67" s="342"/>
      <c r="AE67" s="113"/>
      <c r="AN67" s="250"/>
      <c r="AO67" s="295"/>
      <c r="AP67" s="327"/>
      <c r="AQ67" s="327"/>
      <c r="AR67" s="327"/>
      <c r="AS67" s="327"/>
      <c r="AT67" s="239"/>
      <c r="AU67" s="180"/>
      <c r="AV67" s="180"/>
      <c r="AW67" s="239"/>
      <c r="AX67" s="180"/>
      <c r="AY67" s="180"/>
      <c r="AZ67" s="239"/>
    </row>
    <row r="68" spans="4:54" ht="15.75" hidden="1">
      <c r="H68" s="126"/>
      <c r="I68" s="317" t="str">
        <f>IF(D14="","3º  do Grupo A",D14)</f>
        <v>3º  do Grupo A</v>
      </c>
      <c r="J68" s="317"/>
      <c r="K68" s="318"/>
      <c r="L68" s="69"/>
      <c r="M68" s="69"/>
      <c r="N68" s="70"/>
      <c r="O68" s="38" t="str">
        <f>IF(COUNT(L68:N68)&lt;1,"",IF(SUM(IF(L68&gt;L72,1,0),IF(M68&gt;M72,1,0),IF(N68&gt;N72,1,0))&gt;2,"??",SUM(IF(L68&gt;L72,1,0),IF(M68&gt;M72,1,0),IF(N68&gt;N72,1,0))))</f>
        <v/>
      </c>
      <c r="P68" s="55"/>
      <c r="Q68" s="40"/>
      <c r="R68" s="55"/>
      <c r="S68" s="55"/>
      <c r="T68" s="55"/>
      <c r="U68" s="55"/>
      <c r="V68" s="55"/>
      <c r="W68" s="54"/>
      <c r="X68" s="68"/>
      <c r="Y68" s="343" t="str">
        <f>IF(X74="9º Classificado","",X74)</f>
        <v/>
      </c>
      <c r="Z68" s="344"/>
      <c r="AA68" s="344"/>
      <c r="AB68" s="344"/>
      <c r="AC68" s="344"/>
      <c r="AD68" s="39" t="s">
        <v>67</v>
      </c>
      <c r="AE68" s="113"/>
      <c r="AN68" s="250"/>
      <c r="AO68" s="295"/>
      <c r="AP68" s="327"/>
      <c r="AQ68" s="327"/>
      <c r="AR68" s="327"/>
      <c r="AS68" s="327"/>
      <c r="AT68" s="239"/>
      <c r="AU68" s="180"/>
      <c r="AV68" s="180"/>
      <c r="AW68" s="239"/>
      <c r="AX68" s="180"/>
      <c r="AY68" s="180"/>
      <c r="AZ68" s="239"/>
    </row>
    <row r="69" spans="4:54" ht="15" hidden="1" customHeight="1">
      <c r="H69" s="126"/>
      <c r="I69" s="55"/>
      <c r="J69" s="40"/>
      <c r="K69" s="59"/>
      <c r="L69" s="55"/>
      <c r="M69" s="41"/>
      <c r="N69" s="41"/>
      <c r="O69" s="42"/>
      <c r="P69" s="36"/>
      <c r="Q69" s="40"/>
      <c r="R69" s="55"/>
      <c r="S69" s="55"/>
      <c r="T69" s="55"/>
      <c r="U69" s="55"/>
      <c r="V69" s="60"/>
      <c r="W69" s="53"/>
      <c r="X69" s="48"/>
      <c r="Y69" s="332" t="str">
        <f>IF(Y68="","",IF(Y68=P70,P78,P70))</f>
        <v/>
      </c>
      <c r="Z69" s="333" t="e">
        <f>IF(#REF!="","",IF(#REF!=W69,"","(2º) "))</f>
        <v>#REF!</v>
      </c>
      <c r="AA69" s="333" t="e">
        <f>IF(#REF!="","",IF(#REF!=X69,"","(2º) "))</f>
        <v>#REF!</v>
      </c>
      <c r="AB69" s="333" t="e">
        <f>IF(#REF!="","",IF(#REF!=Y69,"","(2º) "))</f>
        <v>#REF!</v>
      </c>
      <c r="AC69" s="333" t="e">
        <f>IF(#REF!="","",IF(#REF!=Z69,"","(2º) "))</f>
        <v>#REF!</v>
      </c>
      <c r="AD69" s="43" t="s">
        <v>68</v>
      </c>
      <c r="AE69" s="113"/>
      <c r="AN69" s="250"/>
      <c r="AO69" s="295"/>
      <c r="AP69" s="327"/>
      <c r="AQ69" s="327"/>
      <c r="AR69" s="327"/>
      <c r="AS69" s="327"/>
      <c r="AT69" s="239"/>
      <c r="AU69" s="180"/>
      <c r="AV69" s="180"/>
      <c r="AW69" s="239"/>
      <c r="AX69" s="180"/>
      <c r="AY69" s="180"/>
      <c r="AZ69" s="239"/>
    </row>
    <row r="70" spans="4:54" ht="15" hidden="1" customHeight="1">
      <c r="H70" s="126"/>
      <c r="I70" s="55"/>
      <c r="J70" s="40"/>
      <c r="K70" s="59"/>
      <c r="L70" s="55"/>
      <c r="M70" s="42"/>
      <c r="N70" s="42"/>
      <c r="O70" s="64">
        <v>37</v>
      </c>
      <c r="P70" s="322" t="str">
        <f>IF(OR(O68="",O72="")=TRUE,"Disputa 9º/10º Jogador1",IF(O68&gt;O72,I68,I72))</f>
        <v>Disputa 9º/10º Jogador1</v>
      </c>
      <c r="Q70" s="317"/>
      <c r="R70" s="317"/>
      <c r="S70" s="318"/>
      <c r="T70" s="69"/>
      <c r="U70" s="69"/>
      <c r="V70" s="69"/>
      <c r="W70" s="45" t="str">
        <f>IF(COUNT(T70:V70)&lt;1,"",IF(SUM(IF(T70&gt;T78,1,0),IF(U70&gt;U78,1,0),IF(V70&gt;V78,1,0))&gt;2,"??",SUM(IF(T70&gt;T78,1,0),IF(U70&gt;U78,1,0),IF(V70&gt;V78,1,0))))</f>
        <v/>
      </c>
      <c r="X70" s="48"/>
      <c r="Y70" s="332" t="str">
        <f>IF(P74="11º Classificado","",P74)</f>
        <v/>
      </c>
      <c r="Z70" s="333"/>
      <c r="AA70" s="333"/>
      <c r="AB70" s="333"/>
      <c r="AC70" s="333"/>
      <c r="AD70" s="43" t="s">
        <v>69</v>
      </c>
      <c r="AE70" s="113"/>
      <c r="AN70" s="250"/>
      <c r="AO70" s="295"/>
      <c r="AP70" s="327"/>
      <c r="AQ70" s="327"/>
      <c r="AR70" s="327"/>
      <c r="AS70" s="327"/>
      <c r="AT70" s="239"/>
      <c r="AU70" s="180"/>
      <c r="AV70" s="180"/>
      <c r="AW70" s="239"/>
      <c r="AX70" s="180"/>
      <c r="AY70" s="180"/>
      <c r="AZ70" s="239"/>
    </row>
    <row r="71" spans="4:54" ht="15.75" hidden="1" thickBot="1">
      <c r="H71" s="126"/>
      <c r="I71" s="55"/>
      <c r="J71" s="40"/>
      <c r="K71" s="59"/>
      <c r="L71" s="55"/>
      <c r="M71" s="42"/>
      <c r="N71" s="42"/>
      <c r="O71" s="42"/>
      <c r="P71" s="36"/>
      <c r="Q71" s="40"/>
      <c r="R71" s="55"/>
      <c r="S71" s="46"/>
      <c r="T71" s="42"/>
      <c r="U71" s="42"/>
      <c r="V71" s="67"/>
      <c r="W71" s="47"/>
      <c r="X71" s="48"/>
      <c r="Y71" s="334" t="str">
        <f>IF(Y70="","",IF(Y70=P72,P76,P72))</f>
        <v/>
      </c>
      <c r="Z71" s="335"/>
      <c r="AA71" s="335"/>
      <c r="AB71" s="335"/>
      <c r="AC71" s="335"/>
      <c r="AD71" s="164" t="s">
        <v>70</v>
      </c>
      <c r="AE71" s="113"/>
      <c r="AN71" s="250"/>
      <c r="AO71" s="295"/>
      <c r="AP71" s="327"/>
      <c r="AQ71" s="327"/>
      <c r="AR71" s="327"/>
      <c r="AS71" s="327"/>
      <c r="AT71" s="239"/>
      <c r="AU71" s="180"/>
      <c r="AV71" s="180"/>
      <c r="AW71" s="239"/>
      <c r="AX71" s="180"/>
      <c r="AY71" s="180"/>
      <c r="AZ71" s="239"/>
    </row>
    <row r="72" spans="4:54" ht="15" hidden="1">
      <c r="H72" s="126"/>
      <c r="I72" s="317" t="str">
        <f>IF(K14="","3º  do Grupo B",K14)</f>
        <v>3º  do Grupo B</v>
      </c>
      <c r="J72" s="317"/>
      <c r="K72" s="318"/>
      <c r="L72" s="69"/>
      <c r="M72" s="69"/>
      <c r="N72" s="70"/>
      <c r="O72" s="35" t="str">
        <f>IF(COUNT(L72:N72)&lt;1,"",IF(SUM(IF(L68&lt;L72,1,0),IF(M68&lt;M72,1,0),IF(N68&lt;N72,1,0))&gt;2,"??",SUM(IF(L68&lt;L72,1,0),IF(M68&lt;M72,1,0),IF(N68&lt;N72,1,0))))</f>
        <v/>
      </c>
      <c r="P72" s="324" t="str">
        <f>IF(P70="Disputa 9º/10º Jogador1","Disputa 11º/12º  Jogador1",IF(P70=I68,I72,I68))</f>
        <v>Disputa 11º/12º  Jogador1</v>
      </c>
      <c r="Q72" s="325"/>
      <c r="R72" s="326"/>
      <c r="S72" s="69"/>
      <c r="T72" s="69"/>
      <c r="U72" s="69"/>
      <c r="V72" s="49" t="str">
        <f>IF(COUNT(S72:U72)&lt;1,"",IF(SUM(IF(S72&gt;S76,1,0),IF(T72&gt;T76,1,0),IF(U72&gt;U76,1,0))&gt;2,"??",SUM(IF(S72&gt;S76,1,0),IF(T72&gt;T76,1,0),IF(U72&gt;U76,1,0))))</f>
        <v/>
      </c>
      <c r="W72" s="50"/>
      <c r="X72" s="48"/>
      <c r="Y72" s="53"/>
      <c r="Z72" s="53"/>
      <c r="AA72" s="53"/>
      <c r="AB72" s="53"/>
      <c r="AC72" s="53"/>
      <c r="AD72" s="54"/>
      <c r="AE72" s="113"/>
      <c r="AN72" s="250"/>
      <c r="AO72" s="295"/>
      <c r="AP72" s="327"/>
      <c r="AQ72" s="327"/>
      <c r="AR72" s="327"/>
      <c r="AS72" s="327"/>
      <c r="AT72" s="239"/>
      <c r="AU72" s="180"/>
      <c r="AV72" s="180"/>
      <c r="AW72" s="239"/>
      <c r="AX72" s="180"/>
      <c r="AY72" s="180"/>
      <c r="AZ72" s="239"/>
    </row>
    <row r="73" spans="4:54" ht="12.75" hidden="1" customHeight="1">
      <c r="H73" s="126"/>
      <c r="I73" s="55"/>
      <c r="J73" s="40"/>
      <c r="K73" s="59"/>
      <c r="L73" s="46"/>
      <c r="M73" s="42"/>
      <c r="N73" s="42"/>
      <c r="O73" s="42"/>
      <c r="P73" s="55"/>
      <c r="Q73" s="51"/>
      <c r="R73" s="46"/>
      <c r="S73" s="46"/>
      <c r="T73" s="41"/>
      <c r="U73" s="41"/>
      <c r="V73" s="52"/>
      <c r="W73" s="50"/>
      <c r="X73" s="48"/>
      <c r="Y73" s="53"/>
      <c r="Z73" s="53"/>
      <c r="AA73" s="53"/>
      <c r="AB73" s="53"/>
      <c r="AC73" s="53"/>
      <c r="AD73" s="54"/>
      <c r="AE73" s="113"/>
      <c r="AN73" s="250"/>
      <c r="AO73" s="295"/>
      <c r="AP73" s="295"/>
      <c r="AQ73" s="237"/>
      <c r="AR73" s="238"/>
      <c r="AS73" s="295"/>
      <c r="AT73" s="239"/>
      <c r="AU73" s="180"/>
      <c r="AV73" s="180"/>
      <c r="AW73" s="239"/>
      <c r="AX73" s="180"/>
      <c r="AY73" s="180"/>
      <c r="AZ73" s="239"/>
      <c r="BA73" s="108"/>
      <c r="BB73" s="108"/>
    </row>
    <row r="74" spans="4:54" ht="15.75" hidden="1">
      <c r="H74" s="126"/>
      <c r="I74" s="55"/>
      <c r="J74" s="40"/>
      <c r="K74" s="59"/>
      <c r="L74" s="55"/>
      <c r="M74" s="42"/>
      <c r="N74" s="42"/>
      <c r="O74" s="42"/>
      <c r="P74" s="328" t="str">
        <f>IF(OR(V72="",V76="")=TRUE,"11º Classificado",IF(V72&gt;V76,P72,P76))</f>
        <v>11º Classificado</v>
      </c>
      <c r="Q74" s="328"/>
      <c r="R74" s="328"/>
      <c r="S74" s="328"/>
      <c r="T74" s="328"/>
      <c r="U74" s="328"/>
      <c r="V74" s="65">
        <v>39</v>
      </c>
      <c r="W74" s="66">
        <v>40</v>
      </c>
      <c r="X74" s="329" t="str">
        <f>IF(OR(W70="",W78="")=TRUE,"9º Classificado",IF(W70&gt;W78,P70,P78))</f>
        <v>9º Classificado</v>
      </c>
      <c r="Y74" s="330"/>
      <c r="Z74" s="330"/>
      <c r="AA74" s="330"/>
      <c r="AB74" s="330"/>
      <c r="AC74" s="330"/>
      <c r="AD74" s="54"/>
      <c r="AE74" s="113"/>
      <c r="AN74" s="250"/>
      <c r="AO74" s="295"/>
      <c r="AP74" s="295"/>
      <c r="AQ74" s="237"/>
      <c r="AR74" s="238"/>
      <c r="AS74" s="295"/>
      <c r="AT74" s="239"/>
      <c r="AU74" s="180"/>
      <c r="AV74" s="180"/>
      <c r="AW74" s="239"/>
      <c r="AX74" s="180"/>
      <c r="AY74" s="180"/>
      <c r="AZ74" s="239"/>
      <c r="BA74" s="108"/>
      <c r="BB74" s="108"/>
    </row>
    <row r="75" spans="4:54" ht="15" hidden="1">
      <c r="H75" s="126"/>
      <c r="I75" s="55"/>
      <c r="J75" s="40"/>
      <c r="K75" s="59"/>
      <c r="L75" s="55"/>
      <c r="M75" s="42"/>
      <c r="N75" s="42"/>
      <c r="O75" s="42"/>
      <c r="P75" s="55"/>
      <c r="Q75" s="40"/>
      <c r="R75" s="55"/>
      <c r="S75" s="55"/>
      <c r="T75" s="42"/>
      <c r="U75" s="42"/>
      <c r="V75" s="56"/>
      <c r="W75" s="50"/>
      <c r="X75" s="48"/>
      <c r="Y75" s="331"/>
      <c r="Z75" s="331"/>
      <c r="AA75" s="331"/>
      <c r="AB75" s="331"/>
      <c r="AC75" s="331"/>
      <c r="AD75" s="54"/>
      <c r="AE75" s="113"/>
      <c r="AN75" s="250"/>
      <c r="AO75" s="295"/>
      <c r="AP75" s="295"/>
      <c r="AQ75" s="237"/>
      <c r="AR75" s="238"/>
      <c r="AS75" s="295"/>
      <c r="AT75" s="239"/>
      <c r="AU75" s="180"/>
      <c r="AV75" s="180"/>
      <c r="AW75" s="239"/>
      <c r="AX75" s="180"/>
      <c r="AY75" s="180"/>
      <c r="AZ75" s="239"/>
      <c r="BA75" s="108"/>
      <c r="BB75" s="108"/>
    </row>
    <row r="76" spans="4:54" ht="15" hidden="1">
      <c r="H76" s="126"/>
      <c r="I76" s="317" t="str">
        <f>IF(R14="","3º  do Grupo C",R14)</f>
        <v>3º  do Grupo C</v>
      </c>
      <c r="J76" s="317"/>
      <c r="K76" s="318"/>
      <c r="L76" s="69"/>
      <c r="M76" s="69"/>
      <c r="N76" s="70"/>
      <c r="O76" s="38" t="str">
        <f>IF(COUNT(L76:N76)&lt;1,"",IF(SUM(IF(L76&gt;L80,1,0),IF(M76&gt;M80,1,0),IF(N76&gt;N80,1,0))&gt;2,"??",SUM(IF(L76&gt;L80,1,0),IF(M76&gt;M80,1,0),IF(N76&gt;N80,1,0))))</f>
        <v/>
      </c>
      <c r="P76" s="319" t="str">
        <f>IF(P78="Disputa 9º/10º Jogador2","Disputa 11º/12º  Jogador2",IF(P78=I76,I80,I76))</f>
        <v>Disputa 11º/12º  Jogador2</v>
      </c>
      <c r="Q76" s="320"/>
      <c r="R76" s="321"/>
      <c r="S76" s="69"/>
      <c r="T76" s="69"/>
      <c r="U76" s="69"/>
      <c r="V76" s="49" t="str">
        <f>IF(COUNT(S76:U76)&lt;1,"",IF(SUM(IF(S72&lt;S76,1,0),IF(T72&lt;T76,1,0),IF(U72&lt;U76,1,0))&gt;2,"??",SUM(IF(S72&lt;S76,1,0),IF(T72&lt;T76,1,0),IF(U72&lt;U76,1,0))))</f>
        <v/>
      </c>
      <c r="W76" s="50"/>
      <c r="X76" s="48"/>
      <c r="Y76" s="53"/>
      <c r="Z76" s="53"/>
      <c r="AA76" s="53"/>
      <c r="AB76" s="57"/>
      <c r="AC76" s="57"/>
      <c r="AD76" s="58"/>
      <c r="AE76" s="113"/>
      <c r="AN76" s="250"/>
      <c r="AO76" s="295"/>
      <c r="AP76" s="295"/>
      <c r="AQ76" s="237"/>
      <c r="AR76" s="238"/>
      <c r="AS76" s="295"/>
      <c r="AT76" s="239"/>
      <c r="AU76" s="180"/>
      <c r="AV76" s="180"/>
      <c r="AW76" s="239"/>
      <c r="AX76" s="180"/>
      <c r="AY76" s="180"/>
      <c r="AZ76" s="239"/>
      <c r="BA76" s="108"/>
      <c r="BB76" s="108"/>
    </row>
    <row r="77" spans="4:54" hidden="1">
      <c r="H77" s="126"/>
      <c r="I77" s="55"/>
      <c r="J77" s="40"/>
      <c r="K77" s="59"/>
      <c r="L77" s="55"/>
      <c r="M77" s="41"/>
      <c r="N77" s="41"/>
      <c r="O77" s="42"/>
      <c r="P77" s="36"/>
      <c r="Q77" s="51"/>
      <c r="R77" s="46"/>
      <c r="S77" s="55"/>
      <c r="T77" s="42"/>
      <c r="U77" s="42"/>
      <c r="V77" s="67"/>
      <c r="W77" s="50"/>
      <c r="X77" s="48"/>
      <c r="Y77" s="53"/>
      <c r="Z77" s="53"/>
      <c r="AA77" s="53"/>
      <c r="AB77" s="53"/>
      <c r="AC77" s="53"/>
      <c r="AD77" s="54"/>
      <c r="AE77" s="113"/>
    </row>
    <row r="78" spans="4:54" ht="15" hidden="1">
      <c r="H78" s="126"/>
      <c r="I78" s="55"/>
      <c r="J78" s="40"/>
      <c r="K78" s="59"/>
      <c r="L78" s="55"/>
      <c r="M78" s="42"/>
      <c r="N78" s="42"/>
      <c r="O78" s="64">
        <v>38</v>
      </c>
      <c r="P78" s="322" t="str">
        <f>IF(OR(O76="",O80="")=TRUE,"Disputa 9º/10º Jogador2",IF(O76&gt;O80,I76,I80))</f>
        <v>Disputa 9º/10º Jogador2</v>
      </c>
      <c r="Q78" s="317"/>
      <c r="R78" s="317"/>
      <c r="S78" s="318"/>
      <c r="T78" s="69"/>
      <c r="U78" s="69"/>
      <c r="V78" s="69"/>
      <c r="W78" s="45" t="str">
        <f>IF(COUNT(T78:V78)&lt;1,"",IF(SUM(IF(T70&lt;T78,1,0),IF(U70&lt;U78,1,0),IF(V70&lt;V78,1,0))&gt;2,"??",SUM(IF(T70&lt;T78,1,0),IF(U70&lt;U78,1,0),IF(V70&lt;V78,1,0))))</f>
        <v/>
      </c>
      <c r="X78" s="48"/>
      <c r="Y78" s="53"/>
      <c r="Z78" s="53"/>
      <c r="AA78" s="53"/>
      <c r="AB78" s="53"/>
      <c r="AC78" s="53"/>
      <c r="AD78" s="54"/>
      <c r="AE78" s="113"/>
    </row>
    <row r="79" spans="4:54" ht="15" hidden="1" customHeight="1">
      <c r="H79" s="126"/>
      <c r="I79" s="55"/>
      <c r="J79" s="40"/>
      <c r="K79" s="59"/>
      <c r="L79" s="55"/>
      <c r="M79" s="42"/>
      <c r="N79" s="42"/>
      <c r="O79" s="42"/>
      <c r="P79" s="36"/>
      <c r="Q79" s="40"/>
      <c r="R79" s="55"/>
      <c r="S79" s="46"/>
      <c r="T79" s="55"/>
      <c r="U79" s="55"/>
      <c r="V79" s="60"/>
      <c r="W79" s="53"/>
      <c r="X79" s="48"/>
      <c r="Y79" s="53"/>
      <c r="Z79" s="53"/>
      <c r="AA79" s="53"/>
      <c r="AB79" s="53"/>
      <c r="AC79" s="53"/>
      <c r="AD79" s="54"/>
      <c r="AE79" s="113"/>
    </row>
    <row r="80" spans="4:54" ht="15" hidden="1">
      <c r="H80" s="126"/>
      <c r="I80" s="317" t="str">
        <f>IF(Y14="","3º  do Grupo D",Y14)</f>
        <v>3º  do Grupo D</v>
      </c>
      <c r="J80" s="317"/>
      <c r="K80" s="318"/>
      <c r="L80" s="69"/>
      <c r="M80" s="69"/>
      <c r="N80" s="70"/>
      <c r="O80" s="35" t="str">
        <f>IF(COUNT(L80:N80)&lt;1,"",IF(SUM(IF(L76&lt;L80,1,0),IF(M76&lt;M80,1,0),IF(N76&lt;N80,1,0))&gt;2,"??",SUM(IF(L76&lt;L80,1,0),IF(M76&lt;M80,1,0),IF(N76&lt;N80,1,0))))</f>
        <v/>
      </c>
      <c r="P80" s="36"/>
      <c r="Q80" s="40"/>
      <c r="R80" s="55"/>
      <c r="S80" s="55"/>
      <c r="T80" s="55"/>
      <c r="U80" s="55"/>
      <c r="V80" s="55"/>
      <c r="W80" s="54"/>
      <c r="X80" s="68"/>
      <c r="Y80" s="54"/>
      <c r="Z80" s="54"/>
      <c r="AA80" s="54"/>
      <c r="AB80" s="54"/>
      <c r="AC80" s="54"/>
      <c r="AD80" s="54"/>
      <c r="AE80" s="113"/>
    </row>
    <row r="81" spans="4:54" hidden="1">
      <c r="H81" s="128"/>
      <c r="I81" s="168"/>
      <c r="J81" s="169"/>
      <c r="K81" s="168"/>
      <c r="L81" s="170"/>
      <c r="M81" s="168"/>
      <c r="N81" s="168"/>
      <c r="O81" s="168"/>
      <c r="P81" s="168"/>
      <c r="Q81" s="169"/>
      <c r="R81" s="168"/>
      <c r="S81" s="168"/>
      <c r="T81" s="168"/>
      <c r="U81" s="168"/>
      <c r="V81" s="168"/>
      <c r="W81" s="122"/>
      <c r="X81" s="123"/>
      <c r="Y81" s="122"/>
      <c r="Z81" s="122"/>
      <c r="AA81" s="122"/>
      <c r="AB81" s="122"/>
      <c r="AC81" s="122"/>
      <c r="AD81" s="122"/>
      <c r="AE81" s="124"/>
    </row>
    <row r="82" spans="4:54" ht="6" hidden="1" customHeight="1">
      <c r="H82" s="54"/>
    </row>
    <row r="83" spans="4:54" hidden="1">
      <c r="D83" s="54"/>
      <c r="H83" s="125"/>
      <c r="I83" s="61"/>
      <c r="J83" s="167"/>
      <c r="K83" s="61"/>
      <c r="L83" s="61"/>
      <c r="M83" s="61"/>
      <c r="N83" s="61"/>
      <c r="O83" s="61"/>
      <c r="P83" s="61"/>
      <c r="Q83" s="167"/>
      <c r="R83" s="61"/>
      <c r="S83" s="61"/>
      <c r="T83" s="61"/>
      <c r="U83" s="61"/>
      <c r="V83" s="61"/>
      <c r="W83" s="61"/>
      <c r="X83" s="167"/>
      <c r="Y83" s="61"/>
      <c r="Z83" s="61"/>
      <c r="AA83" s="61"/>
      <c r="AB83" s="61"/>
      <c r="AC83" s="61"/>
      <c r="AD83" s="61"/>
      <c r="AE83" s="3"/>
      <c r="AN83" s="250"/>
      <c r="AO83" s="295"/>
      <c r="AP83" s="327"/>
      <c r="AQ83" s="327"/>
      <c r="AR83" s="327"/>
      <c r="AS83" s="327"/>
      <c r="AT83" s="239"/>
      <c r="AU83" s="180"/>
      <c r="AV83" s="180"/>
      <c r="AW83" s="239"/>
      <c r="AX83" s="180"/>
      <c r="AY83" s="180"/>
      <c r="AZ83" s="239"/>
    </row>
    <row r="84" spans="4:54" hidden="1">
      <c r="D84" s="54"/>
      <c r="H84" s="126"/>
      <c r="I84" s="336" t="s">
        <v>231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68"/>
      <c r="Y84" s="337" t="s">
        <v>0</v>
      </c>
      <c r="Z84" s="338"/>
      <c r="AA84" s="338"/>
      <c r="AB84" s="338"/>
      <c r="AC84" s="338"/>
      <c r="AD84" s="339"/>
      <c r="AE84" s="113"/>
      <c r="AN84" s="250"/>
      <c r="AO84" s="295"/>
      <c r="AP84" s="327"/>
      <c r="AQ84" s="327"/>
      <c r="AR84" s="327"/>
      <c r="AS84" s="327"/>
      <c r="AT84" s="239"/>
      <c r="AU84" s="180"/>
      <c r="AV84" s="180"/>
      <c r="AW84" s="239"/>
      <c r="AX84" s="180"/>
      <c r="AY84" s="180"/>
      <c r="AZ84" s="239"/>
    </row>
    <row r="85" spans="4:54" ht="13.5" hidden="1" thickBot="1">
      <c r="D85" s="54"/>
      <c r="H85" s="12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68"/>
      <c r="Y85" s="340"/>
      <c r="Z85" s="341"/>
      <c r="AA85" s="341"/>
      <c r="AB85" s="341"/>
      <c r="AC85" s="341"/>
      <c r="AD85" s="342"/>
      <c r="AE85" s="113"/>
      <c r="AN85" s="250"/>
      <c r="AO85" s="295"/>
      <c r="AP85" s="327"/>
      <c r="AQ85" s="327"/>
      <c r="AR85" s="327"/>
      <c r="AS85" s="327"/>
      <c r="AT85" s="239"/>
      <c r="AU85" s="180"/>
      <c r="AV85" s="180"/>
      <c r="AW85" s="239"/>
      <c r="AX85" s="180"/>
      <c r="AY85" s="180"/>
      <c r="AZ85" s="239"/>
    </row>
    <row r="86" spans="4:54" ht="15.75" hidden="1">
      <c r="H86" s="126"/>
      <c r="I86" s="317" t="str">
        <f>IF(D15="","4º  do Grupo A",D15)</f>
        <v>4º  do Grupo A</v>
      </c>
      <c r="J86" s="317"/>
      <c r="K86" s="318"/>
      <c r="L86" s="69"/>
      <c r="M86" s="69"/>
      <c r="N86" s="70"/>
      <c r="O86" s="38" t="str">
        <f>IF(COUNT(L86:N86)&lt;1,"",IF(SUM(IF(L86&gt;L90,1,0),IF(M86&gt;M90,1,0),IF(N86&gt;N90,1,0))&gt;2,"??",SUM(IF(L86&gt;L90,1,0),IF(M86&gt;M90,1,0),IF(N86&gt;N90,1,0))))</f>
        <v/>
      </c>
      <c r="P86" s="55"/>
      <c r="Q86" s="40"/>
      <c r="R86" s="55"/>
      <c r="S86" s="55"/>
      <c r="T86" s="55"/>
      <c r="U86" s="55"/>
      <c r="V86" s="55"/>
      <c r="W86" s="54"/>
      <c r="X86" s="68"/>
      <c r="Y86" s="343" t="str">
        <f>IF(X92="13º Classificado","",X92)</f>
        <v/>
      </c>
      <c r="Z86" s="344"/>
      <c r="AA86" s="344"/>
      <c r="AB86" s="344"/>
      <c r="AC86" s="344"/>
      <c r="AD86" s="39" t="s">
        <v>232</v>
      </c>
      <c r="AE86" s="113"/>
      <c r="AN86" s="250"/>
      <c r="AO86" s="295"/>
      <c r="AP86" s="327"/>
      <c r="AQ86" s="327"/>
      <c r="AR86" s="327"/>
      <c r="AS86" s="327"/>
      <c r="AT86" s="239"/>
      <c r="AU86" s="180"/>
      <c r="AV86" s="180"/>
      <c r="AW86" s="239"/>
      <c r="AX86" s="180"/>
      <c r="AY86" s="180"/>
      <c r="AZ86" s="239"/>
    </row>
    <row r="87" spans="4:54" ht="15" hidden="1" customHeight="1">
      <c r="H87" s="126"/>
      <c r="I87" s="55"/>
      <c r="J87" s="40"/>
      <c r="K87" s="59"/>
      <c r="L87" s="55"/>
      <c r="M87" s="41"/>
      <c r="N87" s="41"/>
      <c r="O87" s="42"/>
      <c r="P87" s="36"/>
      <c r="Q87" s="40"/>
      <c r="R87" s="55"/>
      <c r="S87" s="55"/>
      <c r="T87" s="55"/>
      <c r="U87" s="55"/>
      <c r="V87" s="60"/>
      <c r="W87" s="53"/>
      <c r="X87" s="48"/>
      <c r="Y87" s="332" t="str">
        <f>IF(Y86="","",IF(Y86=P88,P96,P88))</f>
        <v/>
      </c>
      <c r="Z87" s="333" t="e">
        <f>IF(#REF!="","",IF(#REF!=W87,"","(2º) "))</f>
        <v>#REF!</v>
      </c>
      <c r="AA87" s="333" t="e">
        <f>IF(#REF!="","",IF(#REF!=X87,"","(2º) "))</f>
        <v>#REF!</v>
      </c>
      <c r="AB87" s="333" t="e">
        <f>IF(#REF!="","",IF(#REF!=Y87,"","(2º) "))</f>
        <v>#REF!</v>
      </c>
      <c r="AC87" s="333" t="e">
        <f>IF(#REF!="","",IF(#REF!=Z87,"","(2º) "))</f>
        <v>#REF!</v>
      </c>
      <c r="AD87" s="43" t="s">
        <v>233</v>
      </c>
      <c r="AE87" s="113"/>
      <c r="AN87" s="250"/>
      <c r="AO87" s="295"/>
      <c r="AP87" s="327"/>
      <c r="AQ87" s="327"/>
      <c r="AR87" s="327"/>
      <c r="AS87" s="327"/>
      <c r="AT87" s="239"/>
      <c r="AU87" s="180"/>
      <c r="AV87" s="180"/>
      <c r="AW87" s="239"/>
      <c r="AX87" s="180"/>
      <c r="AY87" s="180"/>
      <c r="AZ87" s="239"/>
    </row>
    <row r="88" spans="4:54" ht="15" hidden="1" customHeight="1">
      <c r="H88" s="126"/>
      <c r="I88" s="55"/>
      <c r="J88" s="40"/>
      <c r="K88" s="59"/>
      <c r="L88" s="55"/>
      <c r="M88" s="42"/>
      <c r="N88" s="42"/>
      <c r="O88" s="64">
        <v>41</v>
      </c>
      <c r="P88" s="322" t="str">
        <f>IF(OR(O86="",O90="")=TRUE,"Disputa 13º/14º Jogador1",IF(O86&gt;O90,I86,I90))</f>
        <v>Disputa 13º/14º Jogador1</v>
      </c>
      <c r="Q88" s="317"/>
      <c r="R88" s="317"/>
      <c r="S88" s="318"/>
      <c r="T88" s="69"/>
      <c r="U88" s="69"/>
      <c r="V88" s="69"/>
      <c r="W88" s="45" t="str">
        <f>IF(COUNT(T88:V88)&lt;1,"",IF(SUM(IF(T88&gt;T96,1,0),IF(U88&gt;U96,1,0),IF(V88&gt;V96,1,0))&gt;2,"??",SUM(IF(T88&gt;T96,1,0),IF(U88&gt;U96,1,0),IF(V88&gt;V96,1,0))))</f>
        <v/>
      </c>
      <c r="X88" s="48"/>
      <c r="Y88" s="332" t="str">
        <f>IF(P92="15º Classificado","",P92)</f>
        <v/>
      </c>
      <c r="Z88" s="333"/>
      <c r="AA88" s="333"/>
      <c r="AB88" s="333"/>
      <c r="AC88" s="333"/>
      <c r="AD88" s="43" t="s">
        <v>234</v>
      </c>
      <c r="AE88" s="113"/>
      <c r="AN88" s="250"/>
      <c r="AO88" s="295"/>
      <c r="AP88" s="327"/>
      <c r="AQ88" s="327"/>
      <c r="AR88" s="327"/>
      <c r="AS88" s="327"/>
      <c r="AT88" s="239"/>
      <c r="AU88" s="180"/>
      <c r="AV88" s="180"/>
      <c r="AW88" s="239"/>
      <c r="AX88" s="180"/>
      <c r="AY88" s="180"/>
      <c r="AZ88" s="239"/>
    </row>
    <row r="89" spans="4:54" ht="15.75" hidden="1" thickBot="1">
      <c r="H89" s="126"/>
      <c r="I89" s="55"/>
      <c r="J89" s="40"/>
      <c r="K89" s="59"/>
      <c r="L89" s="55"/>
      <c r="M89" s="42"/>
      <c r="N89" s="42"/>
      <c r="O89" s="42"/>
      <c r="P89" s="36"/>
      <c r="Q89" s="40"/>
      <c r="R89" s="55"/>
      <c r="S89" s="46"/>
      <c r="T89" s="42"/>
      <c r="U89" s="42"/>
      <c r="V89" s="67"/>
      <c r="W89" s="47"/>
      <c r="X89" s="48"/>
      <c r="Y89" s="334" t="str">
        <f>IF(Y88="","",IF(Y88=P90,P94,P90))</f>
        <v/>
      </c>
      <c r="Z89" s="335"/>
      <c r="AA89" s="335"/>
      <c r="AB89" s="335"/>
      <c r="AC89" s="335"/>
      <c r="AD89" s="164" t="s">
        <v>235</v>
      </c>
      <c r="AE89" s="113"/>
      <c r="AN89" s="250"/>
      <c r="AO89" s="295"/>
      <c r="AP89" s="327"/>
      <c r="AQ89" s="327"/>
      <c r="AR89" s="327"/>
      <c r="AS89" s="327"/>
      <c r="AT89" s="239"/>
      <c r="AU89" s="180"/>
      <c r="AV89" s="180"/>
      <c r="AW89" s="239"/>
      <c r="AX89" s="180"/>
      <c r="AY89" s="180"/>
      <c r="AZ89" s="239"/>
    </row>
    <row r="90" spans="4:54" ht="15" hidden="1">
      <c r="H90" s="126"/>
      <c r="I90" s="317" t="str">
        <f>IF(K15="","4º  do Grupo B",K15)</f>
        <v>4º  do Grupo B</v>
      </c>
      <c r="J90" s="317"/>
      <c r="K90" s="318"/>
      <c r="L90" s="69"/>
      <c r="M90" s="69"/>
      <c r="N90" s="70"/>
      <c r="O90" s="35" t="str">
        <f>IF(COUNT(L90:N90)&lt;1,"",IF(SUM(IF(L86&lt;L90,1,0),IF(M86&lt;M90,1,0),IF(N86&lt;N90,1,0))&gt;2,"??",SUM(IF(L86&lt;L90,1,0),IF(M86&lt;M90,1,0),IF(N86&lt;N90,1,0))))</f>
        <v/>
      </c>
      <c r="P90" s="324" t="str">
        <f>IF(P88="Disputa 13º/14º Jogador1","Disputa 15º/16º  Jogador1",IF(P88=I86,I90,I86))</f>
        <v>Disputa 15º/16º  Jogador1</v>
      </c>
      <c r="Q90" s="325"/>
      <c r="R90" s="326"/>
      <c r="S90" s="69"/>
      <c r="T90" s="69"/>
      <c r="U90" s="69"/>
      <c r="V90" s="49" t="str">
        <f>IF(COUNT(S90:U90)&lt;1,"",IF(SUM(IF(S90&gt;S94,1,0),IF(T90&gt;T94,1,0),IF(U90&gt;U94,1,0))&gt;2,"??",SUM(IF(S90&gt;S94,1,0),IF(T90&gt;T94,1,0),IF(U90&gt;U94,1,0))))</f>
        <v/>
      </c>
      <c r="W90" s="50"/>
      <c r="X90" s="48"/>
      <c r="Y90" s="53"/>
      <c r="Z90" s="53"/>
      <c r="AA90" s="53"/>
      <c r="AB90" s="53"/>
      <c r="AC90" s="53"/>
      <c r="AD90" s="54"/>
      <c r="AE90" s="113"/>
      <c r="AN90" s="250"/>
      <c r="AO90" s="295"/>
      <c r="AP90" s="327"/>
      <c r="AQ90" s="327"/>
      <c r="AR90" s="327"/>
      <c r="AS90" s="327"/>
      <c r="AT90" s="239"/>
      <c r="AU90" s="180"/>
      <c r="AV90" s="180"/>
      <c r="AW90" s="239"/>
      <c r="AX90" s="180"/>
      <c r="AY90" s="180"/>
      <c r="AZ90" s="239"/>
    </row>
    <row r="91" spans="4:54" ht="12.75" hidden="1" customHeight="1">
      <c r="H91" s="126"/>
      <c r="I91" s="55"/>
      <c r="J91" s="40"/>
      <c r="K91" s="59"/>
      <c r="L91" s="46"/>
      <c r="M91" s="42"/>
      <c r="N91" s="42"/>
      <c r="O91" s="42"/>
      <c r="P91" s="55"/>
      <c r="Q91" s="51"/>
      <c r="R91" s="46"/>
      <c r="S91" s="46"/>
      <c r="T91" s="41"/>
      <c r="U91" s="41"/>
      <c r="V91" s="52"/>
      <c r="W91" s="50"/>
      <c r="X91" s="48"/>
      <c r="Y91" s="53"/>
      <c r="Z91" s="53"/>
      <c r="AA91" s="53"/>
      <c r="AB91" s="53"/>
      <c r="AC91" s="53"/>
      <c r="AD91" s="54"/>
      <c r="AE91" s="113"/>
      <c r="AN91" s="250"/>
      <c r="AO91" s="295"/>
      <c r="AP91" s="295"/>
      <c r="AQ91" s="237"/>
      <c r="AR91" s="238"/>
      <c r="AS91" s="295"/>
      <c r="AT91" s="239"/>
      <c r="AU91" s="180"/>
      <c r="AV91" s="180"/>
      <c r="AW91" s="239"/>
      <c r="AX91" s="180"/>
      <c r="AY91" s="180"/>
      <c r="AZ91" s="239"/>
      <c r="BA91" s="108"/>
      <c r="BB91" s="108"/>
    </row>
    <row r="92" spans="4:54" ht="15.75" hidden="1">
      <c r="H92" s="126"/>
      <c r="I92" s="55"/>
      <c r="J92" s="40"/>
      <c r="K92" s="59"/>
      <c r="L92" s="55"/>
      <c r="M92" s="42"/>
      <c r="N92" s="42"/>
      <c r="O92" s="42"/>
      <c r="P92" s="328" t="str">
        <f>IF(OR(V90="",V94="")=TRUE,"15º Classificado",IF(V90&gt;V94,P90,P94))</f>
        <v>15º Classificado</v>
      </c>
      <c r="Q92" s="328"/>
      <c r="R92" s="328"/>
      <c r="S92" s="328"/>
      <c r="T92" s="328"/>
      <c r="U92" s="328"/>
      <c r="V92" s="65">
        <v>43</v>
      </c>
      <c r="W92" s="66">
        <v>44</v>
      </c>
      <c r="X92" s="329" t="str">
        <f>IF(OR(W88="",W96="")=TRUE,"13º Classificado",IF(W88&gt;W96,P88,P96))</f>
        <v>13º Classificado</v>
      </c>
      <c r="Y92" s="330"/>
      <c r="Z92" s="330"/>
      <c r="AA92" s="330"/>
      <c r="AB92" s="330"/>
      <c r="AC92" s="330"/>
      <c r="AD92" s="54"/>
      <c r="AE92" s="113"/>
      <c r="AN92" s="250"/>
      <c r="AO92" s="295"/>
      <c r="AP92" s="295"/>
      <c r="AQ92" s="237"/>
      <c r="AR92" s="238"/>
      <c r="AS92" s="295"/>
      <c r="AT92" s="239"/>
      <c r="AU92" s="180"/>
      <c r="AV92" s="180"/>
      <c r="AW92" s="239"/>
      <c r="AX92" s="180"/>
      <c r="AY92" s="180"/>
      <c r="AZ92" s="239"/>
      <c r="BA92" s="108"/>
      <c r="BB92" s="108"/>
    </row>
    <row r="93" spans="4:54" ht="15" hidden="1">
      <c r="H93" s="126"/>
      <c r="I93" s="55"/>
      <c r="J93" s="40"/>
      <c r="K93" s="59"/>
      <c r="L93" s="55"/>
      <c r="M93" s="42"/>
      <c r="N93" s="42"/>
      <c r="O93" s="42"/>
      <c r="P93" s="55"/>
      <c r="Q93" s="40"/>
      <c r="R93" s="55"/>
      <c r="S93" s="55"/>
      <c r="T93" s="42"/>
      <c r="U93" s="42"/>
      <c r="V93" s="56"/>
      <c r="W93" s="50"/>
      <c r="X93" s="48"/>
      <c r="Y93" s="331"/>
      <c r="Z93" s="331"/>
      <c r="AA93" s="331"/>
      <c r="AB93" s="331"/>
      <c r="AC93" s="331"/>
      <c r="AD93" s="54"/>
      <c r="AE93" s="113"/>
      <c r="AN93" s="250"/>
      <c r="AO93" s="295"/>
      <c r="AP93" s="295"/>
      <c r="AQ93" s="237"/>
      <c r="AR93" s="238"/>
      <c r="AS93" s="295"/>
      <c r="AT93" s="239"/>
      <c r="AU93" s="180"/>
      <c r="AV93" s="180"/>
      <c r="AW93" s="239"/>
      <c r="AX93" s="180"/>
      <c r="AY93" s="180"/>
      <c r="AZ93" s="239"/>
      <c r="BA93" s="108"/>
      <c r="BB93" s="108"/>
    </row>
    <row r="94" spans="4:54" ht="15" hidden="1">
      <c r="H94" s="126"/>
      <c r="I94" s="317" t="str">
        <f>IF(R15="","4º  do Grupo C",R15)</f>
        <v>4º  do Grupo C</v>
      </c>
      <c r="J94" s="317"/>
      <c r="K94" s="318"/>
      <c r="L94" s="69"/>
      <c r="M94" s="69"/>
      <c r="N94" s="70"/>
      <c r="O94" s="38" t="str">
        <f>IF(COUNT(L94:N94)&lt;1,"",IF(SUM(IF(L94&gt;L98,1,0),IF(M94&gt;M98,1,0),IF(N94&gt;N98,1,0))&gt;2,"??",SUM(IF(L94&gt;L98,1,0),IF(M94&gt;M98,1,0),IF(N94&gt;N98,1,0))))</f>
        <v/>
      </c>
      <c r="P94" s="319" t="str">
        <f>IF(P96="Disputa 13º/14º Jogador2","Disputa 15º/16º  Jogador2",IF(P96=I94,I98,I94))</f>
        <v>Disputa 15º/16º  Jogador2</v>
      </c>
      <c r="Q94" s="320"/>
      <c r="R94" s="321"/>
      <c r="S94" s="69"/>
      <c r="T94" s="69"/>
      <c r="U94" s="69"/>
      <c r="V94" s="49" t="str">
        <f>IF(COUNT(S94:U94)&lt;1,"",IF(SUM(IF(S90&lt;S94,1,0),IF(T90&lt;T94,1,0),IF(U90&lt;U94,1,0))&gt;2,"??",SUM(IF(S90&lt;S94,1,0),IF(T90&lt;T94,1,0),IF(U90&lt;U94,1,0))))</f>
        <v/>
      </c>
      <c r="W94" s="50"/>
      <c r="X94" s="48"/>
      <c r="Y94" s="53"/>
      <c r="Z94" s="53"/>
      <c r="AA94" s="53"/>
      <c r="AB94" s="57"/>
      <c r="AC94" s="57"/>
      <c r="AD94" s="58"/>
      <c r="AE94" s="113"/>
      <c r="AN94" s="250"/>
      <c r="AO94" s="295"/>
      <c r="AP94" s="295"/>
      <c r="AQ94" s="237"/>
      <c r="AR94" s="238"/>
      <c r="AS94" s="295"/>
      <c r="AT94" s="239"/>
      <c r="AU94" s="180"/>
      <c r="AV94" s="180"/>
      <c r="AW94" s="239"/>
      <c r="AX94" s="180"/>
      <c r="AY94" s="180"/>
      <c r="AZ94" s="239"/>
      <c r="BA94" s="108"/>
      <c r="BB94" s="108"/>
    </row>
    <row r="95" spans="4:54" hidden="1">
      <c r="H95" s="126"/>
      <c r="I95" s="55"/>
      <c r="J95" s="40"/>
      <c r="K95" s="59"/>
      <c r="L95" s="55"/>
      <c r="M95" s="41"/>
      <c r="N95" s="41"/>
      <c r="O95" s="42"/>
      <c r="P95" s="36"/>
      <c r="Q95" s="51"/>
      <c r="R95" s="46"/>
      <c r="S95" s="55"/>
      <c r="T95" s="42"/>
      <c r="U95" s="42"/>
      <c r="V95" s="67"/>
      <c r="W95" s="50"/>
      <c r="X95" s="48"/>
      <c r="Y95" s="53"/>
      <c r="Z95" s="53"/>
      <c r="AA95" s="53"/>
      <c r="AB95" s="53"/>
      <c r="AC95" s="53"/>
      <c r="AD95" s="54"/>
      <c r="AE95" s="113"/>
    </row>
    <row r="96" spans="4:54" ht="15" hidden="1">
      <c r="H96" s="126"/>
      <c r="I96" s="55"/>
      <c r="J96" s="40"/>
      <c r="K96" s="59"/>
      <c r="L96" s="55"/>
      <c r="M96" s="42"/>
      <c r="N96" s="42"/>
      <c r="O96" s="64">
        <v>42</v>
      </c>
      <c r="P96" s="322" t="str">
        <f>IF(OR(O94="",O98="")=TRUE,"Disputa 13º/14º Jogador2",IF(O94&gt;O98,I94,I98))</f>
        <v>Disputa 13º/14º Jogador2</v>
      </c>
      <c r="Q96" s="317"/>
      <c r="R96" s="317"/>
      <c r="S96" s="318"/>
      <c r="T96" s="69"/>
      <c r="U96" s="69"/>
      <c r="V96" s="69"/>
      <c r="W96" s="45" t="str">
        <f>IF(COUNT(T96:V96)&lt;1,"",IF(SUM(IF(T88&lt;T96,1,0),IF(U88&lt;U96,1,0),IF(V88&lt;V96,1,0))&gt;2,"??",SUM(IF(T88&lt;T96,1,0),IF(U88&lt;U96,1,0),IF(V88&lt;V96,1,0))))</f>
        <v/>
      </c>
      <c r="X96" s="48"/>
      <c r="Y96" s="53"/>
      <c r="Z96" s="53"/>
      <c r="AA96" s="53"/>
      <c r="AB96" s="53"/>
      <c r="AC96" s="53"/>
      <c r="AD96" s="54"/>
      <c r="AE96" s="113"/>
    </row>
    <row r="97" spans="8:94" ht="15" hidden="1" customHeight="1">
      <c r="H97" s="126"/>
      <c r="I97" s="55"/>
      <c r="J97" s="40"/>
      <c r="K97" s="59"/>
      <c r="L97" s="55"/>
      <c r="M97" s="42"/>
      <c r="N97" s="42"/>
      <c r="O97" s="42"/>
      <c r="P97" s="36"/>
      <c r="Q97" s="40"/>
      <c r="R97" s="55"/>
      <c r="S97" s="46"/>
      <c r="T97" s="55"/>
      <c r="U97" s="55"/>
      <c r="V97" s="60"/>
      <c r="W97" s="53"/>
      <c r="X97" s="48"/>
      <c r="Y97" s="53"/>
      <c r="Z97" s="53"/>
      <c r="AA97" s="53"/>
      <c r="AB97" s="53"/>
      <c r="AC97" s="53"/>
      <c r="AD97" s="54"/>
      <c r="AE97" s="113"/>
    </row>
    <row r="98" spans="8:94" ht="15" hidden="1">
      <c r="H98" s="126"/>
      <c r="I98" s="317" t="str">
        <f>IF(Y15="","4º  do Grupo D",Y15)</f>
        <v>4º  do Grupo D</v>
      </c>
      <c r="J98" s="317"/>
      <c r="K98" s="318"/>
      <c r="L98" s="69"/>
      <c r="M98" s="69"/>
      <c r="N98" s="70"/>
      <c r="O98" s="35" t="str">
        <f>IF(COUNT(L98:N98)&lt;1,"",IF(SUM(IF(L94&lt;L98,1,0),IF(M94&lt;M98,1,0),IF(N94&lt;N98,1,0))&gt;2,"??",SUM(IF(L94&lt;L98,1,0),IF(M94&lt;M98,1,0),IF(N94&lt;N98,1,0))))</f>
        <v/>
      </c>
      <c r="P98" s="36"/>
      <c r="Q98" s="40"/>
      <c r="R98" s="55"/>
      <c r="S98" s="55"/>
      <c r="T98" s="55"/>
      <c r="U98" s="55"/>
      <c r="V98" s="55"/>
      <c r="W98" s="54"/>
      <c r="X98" s="68"/>
      <c r="Y98" s="54"/>
      <c r="Z98" s="54"/>
      <c r="AA98" s="54"/>
      <c r="AB98" s="54"/>
      <c r="AC98" s="54"/>
      <c r="AD98" s="54"/>
      <c r="AE98" s="113"/>
    </row>
    <row r="99" spans="8:94" hidden="1">
      <c r="H99" s="128"/>
      <c r="I99" s="168"/>
      <c r="J99" s="169"/>
      <c r="K99" s="168"/>
      <c r="L99" s="170"/>
      <c r="M99" s="168"/>
      <c r="N99" s="168"/>
      <c r="O99" s="168"/>
      <c r="P99" s="168"/>
      <c r="Q99" s="169"/>
      <c r="R99" s="168"/>
      <c r="S99" s="168"/>
      <c r="T99" s="168"/>
      <c r="U99" s="168"/>
      <c r="V99" s="168"/>
      <c r="W99" s="122"/>
      <c r="X99" s="123"/>
      <c r="Y99" s="122"/>
      <c r="Z99" s="122"/>
      <c r="AA99" s="122"/>
      <c r="AB99" s="122"/>
      <c r="AC99" s="122"/>
      <c r="AD99" s="122"/>
      <c r="AE99" s="124"/>
    </row>
    <row r="100" spans="8:94" ht="48.75" hidden="1" customHeight="1" thickBot="1"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3"/>
      <c r="BY100" s="323"/>
      <c r="BZ100" s="323"/>
      <c r="CA100" s="323"/>
      <c r="CB100" s="323"/>
      <c r="CC100" s="323"/>
      <c r="CD100" s="323"/>
      <c r="CE100" s="323"/>
      <c r="CF100" s="323"/>
      <c r="CG100" s="323"/>
      <c r="CH100" s="323"/>
    </row>
    <row r="101" spans="8:94" ht="64.5" hidden="1" customHeight="1" thickBot="1">
      <c r="BA101" s="87"/>
      <c r="BB101" s="315" t="str">
        <f>IF(BC102="","",CONCATENATE(VLOOKUP(BC102,$CJ$102:$CP$145,2,FALSE),"  -  ",VLOOKUP(BC102,$CJ$102:$CP$145,3,FALSE),,"  -  ",VLOOKUP(BC102,$CJ$102:$CP$145,4,FALSE),"  -  ",VLOOKUP(BC102,$CJ$102:$CP$145,5,FALSE)))</f>
        <v>Iniciados  -  Pares  -  Femininos  -  Grupo A</v>
      </c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76"/>
      <c r="CJ101" s="132" t="s">
        <v>27</v>
      </c>
      <c r="CK101" s="132" t="s">
        <v>28</v>
      </c>
      <c r="CL101" s="132" t="s">
        <v>30</v>
      </c>
      <c r="CM101" s="132" t="s">
        <v>29</v>
      </c>
      <c r="CN101" s="132" t="s">
        <v>43</v>
      </c>
      <c r="CO101" s="132" t="s">
        <v>33</v>
      </c>
      <c r="CP101" s="132" t="s">
        <v>34</v>
      </c>
    </row>
    <row r="102" spans="8:94" ht="30" hidden="1" customHeight="1">
      <c r="BA102" s="88"/>
      <c r="BB102" s="89" t="s">
        <v>26</v>
      </c>
      <c r="BC102" s="137">
        <f>IF($AG$27="","",$AG$27)</f>
        <v>1</v>
      </c>
      <c r="BD102" s="84"/>
      <c r="BE102" s="84"/>
      <c r="BF102" s="84"/>
      <c r="BG102" s="84"/>
      <c r="BH102" s="84"/>
      <c r="BI102" s="84"/>
      <c r="BJ102" s="251" t="s">
        <v>65</v>
      </c>
      <c r="BK102" s="84"/>
      <c r="BL102" s="84"/>
      <c r="BM102" s="252"/>
      <c r="BN102" s="253"/>
      <c r="BO102" s="90"/>
      <c r="BP102" s="90"/>
      <c r="BQ102" s="90"/>
      <c r="BR102" s="91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92"/>
      <c r="CJ102" s="133">
        <f>$C$16</f>
        <v>1</v>
      </c>
      <c r="CK102" s="134" t="str">
        <f t="shared" ref="CK102:CK145" si="9">$H$2</f>
        <v>Iniciados</v>
      </c>
      <c r="CL102" s="134" t="str">
        <f t="shared" ref="CL102:CL145" si="10">$H$3</f>
        <v>Pares</v>
      </c>
      <c r="CM102" s="134" t="str">
        <f t="shared" ref="CM102:CM145" si="11">$Q$3</f>
        <v>Femininos</v>
      </c>
      <c r="CN102" s="134" t="str">
        <f>$C$5</f>
        <v>Grupo A</v>
      </c>
      <c r="CO102" s="134" t="str">
        <f>$D$16</f>
        <v>M Henriques/M Afonso (Lisboa)</v>
      </c>
      <c r="CP102" s="134" t="str">
        <f>$D$17</f>
        <v/>
      </c>
    </row>
    <row r="103" spans="8:94" ht="7.5" hidden="1" customHeight="1">
      <c r="BA103" s="88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92"/>
      <c r="CJ103" s="135">
        <f>$C$18</f>
        <v>2</v>
      </c>
      <c r="CK103" s="135" t="str">
        <f t="shared" si="9"/>
        <v>Iniciados</v>
      </c>
      <c r="CL103" s="135" t="str">
        <f t="shared" si="10"/>
        <v>Pares</v>
      </c>
      <c r="CM103" s="135" t="str">
        <f t="shared" si="11"/>
        <v>Femininos</v>
      </c>
      <c r="CN103" s="135" t="str">
        <f>$C$5</f>
        <v>Grupo A</v>
      </c>
      <c r="CO103" s="135" t="str">
        <f>$D$18</f>
        <v>A Costa/M Gomes (Centro)</v>
      </c>
      <c r="CP103" s="135" t="str">
        <f>$D$19</f>
        <v>A Pereira/B Pereira (Norte)</v>
      </c>
    </row>
    <row r="104" spans="8:94" ht="17.25" hidden="1" customHeight="1" thickBot="1">
      <c r="BA104" s="88"/>
      <c r="BB104" s="316" t="s">
        <v>35</v>
      </c>
      <c r="BC104" s="316"/>
      <c r="BD104" s="93" t="s">
        <v>21</v>
      </c>
      <c r="BE104" s="93"/>
      <c r="BF104" s="93"/>
      <c r="BG104" s="93" t="s">
        <v>22</v>
      </c>
      <c r="BH104" s="93"/>
      <c r="BI104" s="93"/>
      <c r="BJ104" s="93" t="s">
        <v>23</v>
      </c>
      <c r="BK104" s="93"/>
      <c r="BL104" s="93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92"/>
      <c r="CJ104" s="135">
        <f>$J$16</f>
        <v>3</v>
      </c>
      <c r="CK104" s="135" t="str">
        <f t="shared" si="9"/>
        <v>Iniciados</v>
      </c>
      <c r="CL104" s="135" t="str">
        <f t="shared" si="10"/>
        <v>Pares</v>
      </c>
      <c r="CM104" s="135" t="str">
        <f t="shared" si="11"/>
        <v>Femininos</v>
      </c>
      <c r="CN104" s="135" t="str">
        <f>$J$5</f>
        <v>Grupo B</v>
      </c>
      <c r="CO104" s="135" t="str">
        <f>$K$16</f>
        <v>A Nunes/S Barros (Norte)</v>
      </c>
      <c r="CP104" s="135" t="str">
        <f>$K$17</f>
        <v/>
      </c>
    </row>
    <row r="105" spans="8:94" ht="19.5" hidden="1" customHeight="1">
      <c r="BA105" s="88"/>
      <c r="BB105" s="302" t="str">
        <f>IF(BC102="","",VLOOKUP(BC102,$CJ$102:$CP$145,6,FALSE))</f>
        <v>M Henriques/M Afonso (Lisboa)</v>
      </c>
      <c r="BC105" s="303"/>
      <c r="BD105" s="302"/>
      <c r="BE105" s="306"/>
      <c r="BF105" s="303"/>
      <c r="BG105" s="302"/>
      <c r="BH105" s="306"/>
      <c r="BI105" s="303"/>
      <c r="BJ105" s="302"/>
      <c r="BK105" s="306"/>
      <c r="BL105" s="303"/>
      <c r="BM105" s="72"/>
      <c r="BN105" s="72"/>
      <c r="BO105" s="308"/>
      <c r="BP105" s="308"/>
      <c r="BQ105" s="308"/>
      <c r="BR105" s="94"/>
      <c r="BS105" s="95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92"/>
      <c r="CJ105" s="135">
        <f>$J$18</f>
        <v>4</v>
      </c>
      <c r="CK105" s="135" t="str">
        <f t="shared" si="9"/>
        <v>Iniciados</v>
      </c>
      <c r="CL105" s="135" t="str">
        <f t="shared" si="10"/>
        <v>Pares</v>
      </c>
      <c r="CM105" s="135" t="str">
        <f t="shared" si="11"/>
        <v>Femininos</v>
      </c>
      <c r="CN105" s="135" t="str">
        <f>$J$5</f>
        <v>Grupo B</v>
      </c>
      <c r="CO105" s="135" t="str">
        <f>$K$18</f>
        <v>S Anica/S Anica (Lisboa)</v>
      </c>
      <c r="CP105" s="135" t="str">
        <f>$K$19</f>
        <v>I Folgado/C Aragonês (Alentejo)</v>
      </c>
    </row>
    <row r="106" spans="8:94" ht="19.5" hidden="1" customHeight="1" thickBot="1">
      <c r="BA106" s="88"/>
      <c r="BB106" s="304"/>
      <c r="BC106" s="305"/>
      <c r="BD106" s="304"/>
      <c r="BE106" s="307"/>
      <c r="BF106" s="305"/>
      <c r="BG106" s="304"/>
      <c r="BH106" s="307"/>
      <c r="BI106" s="305"/>
      <c r="BJ106" s="304"/>
      <c r="BK106" s="307"/>
      <c r="BL106" s="305"/>
      <c r="BM106" s="72"/>
      <c r="BN106" s="72"/>
      <c r="BO106" s="308"/>
      <c r="BP106" s="308"/>
      <c r="BQ106" s="308"/>
      <c r="BR106" s="94"/>
      <c r="BS106" s="95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92"/>
      <c r="CJ106" s="135">
        <f>$Q$16</f>
        <v>5</v>
      </c>
      <c r="CK106" s="135" t="str">
        <f t="shared" si="9"/>
        <v>Iniciados</v>
      </c>
      <c r="CL106" s="135" t="str">
        <f t="shared" si="10"/>
        <v>Pares</v>
      </c>
      <c r="CM106" s="135" t="str">
        <f t="shared" si="11"/>
        <v>Femininos</v>
      </c>
      <c r="CN106" s="135" t="str">
        <f>$Q$5</f>
        <v>Grupo C</v>
      </c>
      <c r="CO106" s="135" t="str">
        <f>$R$16</f>
        <v>D Pereira/M Conceição (Centro)</v>
      </c>
      <c r="CP106" s="135" t="str">
        <f>$R$17</f>
        <v/>
      </c>
    </row>
    <row r="107" spans="8:94" ht="19.5" hidden="1" customHeight="1">
      <c r="BA107" s="88"/>
      <c r="BB107" s="302" t="str">
        <f>IF(BC102="","",VLOOKUP(BC102,$CJ$102:$CP$145,7,FALSE))</f>
        <v/>
      </c>
      <c r="BC107" s="303"/>
      <c r="BD107" s="302"/>
      <c r="BE107" s="306"/>
      <c r="BF107" s="303"/>
      <c r="BG107" s="302"/>
      <c r="BH107" s="306"/>
      <c r="BI107" s="303"/>
      <c r="BJ107" s="302"/>
      <c r="BK107" s="306"/>
      <c r="BL107" s="303"/>
      <c r="BM107" s="72"/>
      <c r="BN107" s="72"/>
      <c r="BO107" s="308"/>
      <c r="BP107" s="308"/>
      <c r="BQ107" s="308"/>
      <c r="BR107" s="94"/>
      <c r="BS107" s="95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92"/>
      <c r="CJ107" s="135">
        <f>$Q$18</f>
        <v>6</v>
      </c>
      <c r="CK107" s="135" t="str">
        <f t="shared" si="9"/>
        <v>Iniciados</v>
      </c>
      <c r="CL107" s="135" t="str">
        <f t="shared" si="10"/>
        <v>Pares</v>
      </c>
      <c r="CM107" s="135" t="str">
        <f t="shared" si="11"/>
        <v>Femininos</v>
      </c>
      <c r="CN107" s="135" t="str">
        <f>$Q$5</f>
        <v>Grupo C</v>
      </c>
      <c r="CO107" s="135" t="str">
        <f>$R$18</f>
        <v>A Vitó/M Neves (Norte)</v>
      </c>
      <c r="CP107" s="135" t="str">
        <f>$R$19</f>
        <v>A Rodrigues/R Pinto (Lisboa)</v>
      </c>
    </row>
    <row r="108" spans="8:94" ht="19.5" hidden="1" customHeight="1" thickBot="1">
      <c r="BA108" s="88"/>
      <c r="BB108" s="304"/>
      <c r="BC108" s="305"/>
      <c r="BD108" s="304"/>
      <c r="BE108" s="307"/>
      <c r="BF108" s="305"/>
      <c r="BG108" s="304"/>
      <c r="BH108" s="307"/>
      <c r="BI108" s="305"/>
      <c r="BJ108" s="304"/>
      <c r="BK108" s="307"/>
      <c r="BL108" s="305"/>
      <c r="BM108" s="72"/>
      <c r="BN108" s="72"/>
      <c r="BO108" s="308"/>
      <c r="BP108" s="308"/>
      <c r="BQ108" s="308"/>
      <c r="BR108" s="96"/>
      <c r="BS108" s="95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92"/>
      <c r="CJ108" s="135">
        <f>$X$16</f>
        <v>7</v>
      </c>
      <c r="CK108" s="135" t="str">
        <f t="shared" si="9"/>
        <v>Iniciados</v>
      </c>
      <c r="CL108" s="135" t="str">
        <f t="shared" si="10"/>
        <v>Pares</v>
      </c>
      <c r="CM108" s="135" t="str">
        <f t="shared" si="11"/>
        <v>Femininos</v>
      </c>
      <c r="CN108" s="135" t="str">
        <f>$X$5</f>
        <v>Grupo D</v>
      </c>
      <c r="CO108" s="135" t="str">
        <f>$Y$16</f>
        <v>C Abreu/M Marques (Lisboa)</v>
      </c>
      <c r="CP108" s="135" t="str">
        <f>$Y$17</f>
        <v/>
      </c>
    </row>
    <row r="109" spans="8:94" ht="22.5" hidden="1" customHeight="1" thickBot="1">
      <c r="BA109" s="88"/>
      <c r="BB109" s="97" t="s">
        <v>24</v>
      </c>
      <c r="BC109" s="309"/>
      <c r="BD109" s="310"/>
      <c r="BE109" s="310"/>
      <c r="BF109" s="310"/>
      <c r="BG109" s="311"/>
      <c r="BH109" s="311"/>
      <c r="BI109" s="311"/>
      <c r="BJ109" s="311"/>
      <c r="BK109" s="311"/>
      <c r="BL109" s="311"/>
      <c r="BM109" s="312"/>
      <c r="BN109" s="313"/>
      <c r="BO109" s="313"/>
      <c r="BP109" s="313"/>
      <c r="BQ109" s="313"/>
      <c r="BR109" s="95"/>
      <c r="BS109" s="95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92"/>
      <c r="CJ109" s="135">
        <f>$X$18</f>
        <v>8</v>
      </c>
      <c r="CK109" s="135" t="str">
        <f t="shared" si="9"/>
        <v>Iniciados</v>
      </c>
      <c r="CL109" s="135" t="str">
        <f t="shared" si="10"/>
        <v>Pares</v>
      </c>
      <c r="CM109" s="135" t="str">
        <f t="shared" si="11"/>
        <v>Femininos</v>
      </c>
      <c r="CN109" s="135" t="str">
        <f>$X$5</f>
        <v>Grupo D</v>
      </c>
      <c r="CO109" s="135" t="str">
        <f>$Y$18</f>
        <v>G Mouteira/M Maia (Norte)</v>
      </c>
      <c r="CP109" s="135" t="str">
        <f>$Y$19</f>
        <v/>
      </c>
    </row>
    <row r="110" spans="8:94" ht="18.75" hidden="1" customHeight="1">
      <c r="BA110" s="88"/>
      <c r="BB110" s="73" t="s">
        <v>35</v>
      </c>
      <c r="BC110" s="73"/>
      <c r="BD110" s="73"/>
      <c r="BE110" s="73"/>
      <c r="BF110" s="73"/>
      <c r="BG110" s="73"/>
      <c r="BH110" s="7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92"/>
      <c r="CJ110" s="135">
        <f>$C$20</f>
        <v>9</v>
      </c>
      <c r="CK110" s="135" t="str">
        <f t="shared" si="9"/>
        <v>Iniciados</v>
      </c>
      <c r="CL110" s="135" t="str">
        <f t="shared" si="10"/>
        <v>Pares</v>
      </c>
      <c r="CM110" s="135" t="str">
        <f t="shared" si="11"/>
        <v>Femininos</v>
      </c>
      <c r="CN110" s="135" t="str">
        <f>$C$5</f>
        <v>Grupo A</v>
      </c>
      <c r="CO110" s="135" t="str">
        <f>$D$20</f>
        <v/>
      </c>
      <c r="CP110" s="135" t="str">
        <f>$D$21</f>
        <v>A Pereira/B Pereira (Norte)</v>
      </c>
    </row>
    <row r="111" spans="8:94" ht="15" hidden="1" customHeight="1">
      <c r="BA111" s="88"/>
      <c r="BB111" s="298" t="str">
        <f>IF($BB$105="","",$BB$105)</f>
        <v>M Henriques/M Afonso (Lisboa)</v>
      </c>
      <c r="BC111" s="299"/>
      <c r="BD111" s="74"/>
      <c r="BE111" s="75"/>
      <c r="BF111" s="75"/>
      <c r="BG111" s="75"/>
      <c r="BH111" s="75"/>
      <c r="BI111" s="75"/>
      <c r="BJ111" s="75"/>
      <c r="BK111" s="75"/>
      <c r="BL111" s="75"/>
      <c r="BM111" s="76"/>
      <c r="BN111" s="254"/>
      <c r="BO111" s="256"/>
      <c r="BP111" s="77"/>
      <c r="BQ111" s="77"/>
      <c r="BR111" s="77"/>
      <c r="BS111" s="78"/>
      <c r="BT111" s="75"/>
      <c r="BU111" s="75"/>
      <c r="BV111" s="75"/>
      <c r="BW111" s="75"/>
      <c r="BX111" s="254"/>
      <c r="BY111" s="76"/>
      <c r="BZ111" s="75"/>
      <c r="CA111" s="75"/>
      <c r="CB111" s="75"/>
      <c r="CC111" s="75"/>
      <c r="CD111" s="75"/>
      <c r="CE111" s="75"/>
      <c r="CF111" s="75"/>
      <c r="CG111" s="75"/>
      <c r="CH111" s="92"/>
      <c r="CJ111" s="135">
        <f>$C$22</f>
        <v>10</v>
      </c>
      <c r="CK111" s="135" t="str">
        <f t="shared" si="9"/>
        <v>Iniciados</v>
      </c>
      <c r="CL111" s="135" t="str">
        <f t="shared" si="10"/>
        <v>Pares</v>
      </c>
      <c r="CM111" s="135" t="str">
        <f t="shared" si="11"/>
        <v>Femininos</v>
      </c>
      <c r="CN111" s="135" t="str">
        <f>$C$5</f>
        <v>Grupo A</v>
      </c>
      <c r="CO111" s="135" t="str">
        <f>$D$22</f>
        <v>M Henriques/M Afonso (Lisboa)</v>
      </c>
      <c r="CP111" s="135" t="str">
        <f>$D$23</f>
        <v>A Costa/M Gomes (Centro)</v>
      </c>
    </row>
    <row r="112" spans="8:94" ht="15" hidden="1" customHeight="1">
      <c r="BA112" s="88"/>
      <c r="BB112" s="300"/>
      <c r="BC112" s="301"/>
      <c r="BD112" s="79"/>
      <c r="BE112" s="80"/>
      <c r="BF112" s="80"/>
      <c r="BG112" s="80"/>
      <c r="BH112" s="80"/>
      <c r="BI112" s="80"/>
      <c r="BJ112" s="80"/>
      <c r="BK112" s="80"/>
      <c r="BL112" s="80"/>
      <c r="BM112" s="81"/>
      <c r="BN112" s="255"/>
      <c r="BO112" s="257"/>
      <c r="BP112" s="82"/>
      <c r="BQ112" s="82"/>
      <c r="BR112" s="82"/>
      <c r="BS112" s="83"/>
      <c r="BT112" s="80"/>
      <c r="BU112" s="80"/>
      <c r="BV112" s="80"/>
      <c r="BW112" s="80"/>
      <c r="BX112" s="255"/>
      <c r="BY112" s="81"/>
      <c r="BZ112" s="80"/>
      <c r="CA112" s="80"/>
      <c r="CB112" s="80"/>
      <c r="CC112" s="80"/>
      <c r="CD112" s="80"/>
      <c r="CE112" s="80"/>
      <c r="CF112" s="80"/>
      <c r="CG112" s="80"/>
      <c r="CH112" s="98" t="s">
        <v>1</v>
      </c>
      <c r="CJ112" s="135">
        <f>$J$20</f>
        <v>11</v>
      </c>
      <c r="CK112" s="135" t="str">
        <f t="shared" si="9"/>
        <v>Iniciados</v>
      </c>
      <c r="CL112" s="135" t="str">
        <f t="shared" si="10"/>
        <v>Pares</v>
      </c>
      <c r="CM112" s="135" t="str">
        <f t="shared" si="11"/>
        <v>Femininos</v>
      </c>
      <c r="CN112" s="135" t="str">
        <f>$J$5</f>
        <v>Grupo B</v>
      </c>
      <c r="CO112" s="135" t="str">
        <f>$K$20</f>
        <v/>
      </c>
      <c r="CP112" s="135" t="str">
        <f>$K$21</f>
        <v>I Folgado/C Aragonês (Alentejo)</v>
      </c>
    </row>
    <row r="113" spans="53:94" ht="15" hidden="1" customHeight="1">
      <c r="BA113" s="88"/>
      <c r="BB113" s="298" t="str">
        <f>IF($BB$107="","",$BB$107)</f>
        <v/>
      </c>
      <c r="BC113" s="299"/>
      <c r="BD113" s="74"/>
      <c r="BE113" s="75"/>
      <c r="BF113" s="75"/>
      <c r="BG113" s="75"/>
      <c r="BH113" s="75"/>
      <c r="BI113" s="75"/>
      <c r="BJ113" s="75"/>
      <c r="BK113" s="75"/>
      <c r="BL113" s="75"/>
      <c r="BM113" s="76"/>
      <c r="BN113" s="254"/>
      <c r="BO113" s="256"/>
      <c r="BP113" s="77"/>
      <c r="BQ113" s="77"/>
      <c r="BR113" s="77"/>
      <c r="BS113" s="78"/>
      <c r="BT113" s="75"/>
      <c r="BU113" s="75"/>
      <c r="BV113" s="75"/>
      <c r="BW113" s="75"/>
      <c r="BX113" s="254"/>
      <c r="BY113" s="76"/>
      <c r="BZ113" s="75"/>
      <c r="CA113" s="75"/>
      <c r="CB113" s="75"/>
      <c r="CC113" s="75"/>
      <c r="CD113" s="75"/>
      <c r="CE113" s="75"/>
      <c r="CF113" s="75"/>
      <c r="CG113" s="75"/>
      <c r="CH113" s="99"/>
      <c r="CJ113" s="135">
        <f>$J$22</f>
        <v>12</v>
      </c>
      <c r="CK113" s="135" t="str">
        <f t="shared" si="9"/>
        <v>Iniciados</v>
      </c>
      <c r="CL113" s="135" t="str">
        <f t="shared" si="10"/>
        <v>Pares</v>
      </c>
      <c r="CM113" s="135" t="str">
        <f t="shared" si="11"/>
        <v>Femininos</v>
      </c>
      <c r="CN113" s="135" t="str">
        <f>$J$5</f>
        <v>Grupo B</v>
      </c>
      <c r="CO113" s="135" t="str">
        <f>$K$22</f>
        <v>A Nunes/S Barros (Norte)</v>
      </c>
      <c r="CP113" s="135" t="str">
        <f>$K$23</f>
        <v>S Anica/S Anica (Lisboa)</v>
      </c>
    </row>
    <row r="114" spans="53:94" ht="15" hidden="1" customHeight="1">
      <c r="BA114" s="88"/>
      <c r="BB114" s="300"/>
      <c r="BC114" s="301"/>
      <c r="BD114" s="79"/>
      <c r="BE114" s="80"/>
      <c r="BF114" s="80"/>
      <c r="BG114" s="80"/>
      <c r="BH114" s="80"/>
      <c r="BI114" s="80"/>
      <c r="BJ114" s="80"/>
      <c r="BK114" s="80"/>
      <c r="BL114" s="80"/>
      <c r="BM114" s="81"/>
      <c r="BN114" s="255"/>
      <c r="BO114" s="257"/>
      <c r="BP114" s="82"/>
      <c r="BQ114" s="82"/>
      <c r="BR114" s="82"/>
      <c r="BS114" s="83"/>
      <c r="BT114" s="80"/>
      <c r="BU114" s="80"/>
      <c r="BV114" s="80"/>
      <c r="BW114" s="80"/>
      <c r="BX114" s="255"/>
      <c r="BY114" s="81"/>
      <c r="BZ114" s="80"/>
      <c r="CA114" s="80"/>
      <c r="CB114" s="80"/>
      <c r="CC114" s="80"/>
      <c r="CD114" s="80"/>
      <c r="CE114" s="80"/>
      <c r="CF114" s="80"/>
      <c r="CG114" s="80"/>
      <c r="CH114" s="92"/>
      <c r="CJ114" s="135">
        <f>$Q$20</f>
        <v>13</v>
      </c>
      <c r="CK114" s="135" t="str">
        <f t="shared" si="9"/>
        <v>Iniciados</v>
      </c>
      <c r="CL114" s="135" t="str">
        <f t="shared" si="10"/>
        <v>Pares</v>
      </c>
      <c r="CM114" s="135" t="str">
        <f t="shared" si="11"/>
        <v>Femininos</v>
      </c>
      <c r="CN114" s="135" t="str">
        <f>$Q$5</f>
        <v>Grupo C</v>
      </c>
      <c r="CO114" s="135" t="str">
        <f>$R$20</f>
        <v/>
      </c>
      <c r="CP114" s="135" t="str">
        <f>$R$21</f>
        <v>A Rodrigues/R Pinto (Lisboa)</v>
      </c>
    </row>
    <row r="115" spans="53:94" ht="12.75" hidden="1" customHeight="1">
      <c r="BA115" s="88"/>
      <c r="BB115" s="84"/>
      <c r="BC115" s="84"/>
      <c r="BD115" s="100">
        <v>1</v>
      </c>
      <c r="BE115" s="100">
        <v>2</v>
      </c>
      <c r="BF115" s="100">
        <v>3</v>
      </c>
      <c r="BG115" s="100">
        <v>4</v>
      </c>
      <c r="BH115" s="100">
        <v>5</v>
      </c>
      <c r="BI115" s="100">
        <v>6</v>
      </c>
      <c r="BJ115" s="100">
        <v>7</v>
      </c>
      <c r="BK115" s="100">
        <v>8</v>
      </c>
      <c r="BL115" s="100">
        <v>9</v>
      </c>
      <c r="BM115" s="100">
        <v>10</v>
      </c>
      <c r="BN115" s="100">
        <v>11</v>
      </c>
      <c r="BO115" s="100">
        <v>12</v>
      </c>
      <c r="BP115" s="100">
        <v>13</v>
      </c>
      <c r="BQ115" s="100">
        <v>14</v>
      </c>
      <c r="BR115" s="100">
        <v>15</v>
      </c>
      <c r="BS115" s="100">
        <v>16</v>
      </c>
      <c r="BT115" s="100">
        <v>17</v>
      </c>
      <c r="BU115" s="100">
        <v>18</v>
      </c>
      <c r="BV115" s="100">
        <v>19</v>
      </c>
      <c r="BW115" s="100">
        <v>20</v>
      </c>
      <c r="BX115" s="100">
        <v>21</v>
      </c>
      <c r="BY115" s="100">
        <v>22</v>
      </c>
      <c r="BZ115" s="100">
        <v>23</v>
      </c>
      <c r="CA115" s="100">
        <v>24</v>
      </c>
      <c r="CB115" s="100">
        <v>25</v>
      </c>
      <c r="CC115" s="100">
        <v>26</v>
      </c>
      <c r="CD115" s="100">
        <v>27</v>
      </c>
      <c r="CE115" s="100">
        <v>28</v>
      </c>
      <c r="CF115" s="100">
        <v>29</v>
      </c>
      <c r="CG115" s="100">
        <v>30</v>
      </c>
      <c r="CH115" s="101"/>
      <c r="CJ115" s="135">
        <f>$Q$22</f>
        <v>14</v>
      </c>
      <c r="CK115" s="135" t="str">
        <f t="shared" si="9"/>
        <v>Iniciados</v>
      </c>
      <c r="CL115" s="135" t="str">
        <f t="shared" si="10"/>
        <v>Pares</v>
      </c>
      <c r="CM115" s="135" t="str">
        <f t="shared" si="11"/>
        <v>Femininos</v>
      </c>
      <c r="CN115" s="135" t="str">
        <f>$Q$5</f>
        <v>Grupo C</v>
      </c>
      <c r="CO115" s="135" t="str">
        <f>$R$22</f>
        <v>D Pereira/M Conceição (Centro)</v>
      </c>
      <c r="CP115" s="135" t="str">
        <f>$R$23</f>
        <v>A Vitó/M Neves (Norte)</v>
      </c>
    </row>
    <row r="116" spans="53:94" ht="15" hidden="1" customHeight="1">
      <c r="BA116" s="88"/>
      <c r="BB116" s="298" t="str">
        <f>IF($BB$105="","",$BB$105)</f>
        <v>M Henriques/M Afonso (Lisboa)</v>
      </c>
      <c r="BC116" s="299"/>
      <c r="BD116" s="74"/>
      <c r="BE116" s="75"/>
      <c r="BF116" s="75"/>
      <c r="BG116" s="75"/>
      <c r="BH116" s="75"/>
      <c r="BI116" s="75"/>
      <c r="BJ116" s="75"/>
      <c r="BK116" s="75"/>
      <c r="BL116" s="75"/>
      <c r="BM116" s="76"/>
      <c r="BN116" s="254"/>
      <c r="BO116" s="256"/>
      <c r="BP116" s="77"/>
      <c r="BQ116" s="77"/>
      <c r="BR116" s="77"/>
      <c r="BS116" s="78"/>
      <c r="BT116" s="75"/>
      <c r="BU116" s="75"/>
      <c r="BV116" s="75"/>
      <c r="BW116" s="75"/>
      <c r="BX116" s="254"/>
      <c r="BY116" s="76"/>
      <c r="BZ116" s="75"/>
      <c r="CA116" s="75"/>
      <c r="CB116" s="75"/>
      <c r="CC116" s="75"/>
      <c r="CD116" s="75"/>
      <c r="CE116" s="75"/>
      <c r="CF116" s="75"/>
      <c r="CG116" s="75"/>
      <c r="CH116" s="92"/>
      <c r="CJ116" s="135">
        <f>$X$20</f>
        <v>15</v>
      </c>
      <c r="CK116" s="135" t="str">
        <f t="shared" si="9"/>
        <v>Iniciados</v>
      </c>
      <c r="CL116" s="135" t="str">
        <f t="shared" si="10"/>
        <v>Pares</v>
      </c>
      <c r="CM116" s="135" t="str">
        <f t="shared" si="11"/>
        <v>Femininos</v>
      </c>
      <c r="CN116" s="135" t="str">
        <f>$X$5</f>
        <v>Grupo D</v>
      </c>
      <c r="CO116" s="135" t="str">
        <f>$Y$20</f>
        <v/>
      </c>
      <c r="CP116" s="135" t="str">
        <f>$Y$21</f>
        <v/>
      </c>
    </row>
    <row r="117" spans="53:94" ht="15" hidden="1" customHeight="1">
      <c r="BA117" s="88"/>
      <c r="BB117" s="300"/>
      <c r="BC117" s="301"/>
      <c r="BD117" s="79"/>
      <c r="BE117" s="80"/>
      <c r="BF117" s="80"/>
      <c r="BG117" s="80"/>
      <c r="BH117" s="80"/>
      <c r="BI117" s="80"/>
      <c r="BJ117" s="80"/>
      <c r="BK117" s="80"/>
      <c r="BL117" s="80"/>
      <c r="BM117" s="81"/>
      <c r="BN117" s="255"/>
      <c r="BO117" s="257"/>
      <c r="BP117" s="82"/>
      <c r="BQ117" s="82"/>
      <c r="BR117" s="82"/>
      <c r="BS117" s="83"/>
      <c r="BT117" s="80"/>
      <c r="BU117" s="80"/>
      <c r="BV117" s="80"/>
      <c r="BW117" s="80"/>
      <c r="BX117" s="255"/>
      <c r="BY117" s="81"/>
      <c r="BZ117" s="80"/>
      <c r="CA117" s="80"/>
      <c r="CB117" s="80"/>
      <c r="CC117" s="80"/>
      <c r="CD117" s="80"/>
      <c r="CE117" s="80"/>
      <c r="CF117" s="80"/>
      <c r="CG117" s="80"/>
      <c r="CH117" s="92"/>
      <c r="CJ117" s="135">
        <f>$X$22</f>
        <v>16</v>
      </c>
      <c r="CK117" s="135" t="str">
        <f t="shared" si="9"/>
        <v>Iniciados</v>
      </c>
      <c r="CL117" s="135" t="str">
        <f t="shared" si="10"/>
        <v>Pares</v>
      </c>
      <c r="CM117" s="135" t="str">
        <f t="shared" si="11"/>
        <v>Femininos</v>
      </c>
      <c r="CN117" s="135" t="str">
        <f>$X$5</f>
        <v>Grupo D</v>
      </c>
      <c r="CO117" s="135" t="str">
        <f>$Y$22</f>
        <v>C Abreu/M Marques (Lisboa)</v>
      </c>
      <c r="CP117" s="135" t="str">
        <f>$Y$23</f>
        <v>G Mouteira/M Maia (Norte)</v>
      </c>
    </row>
    <row r="118" spans="53:94" ht="15" hidden="1" customHeight="1">
      <c r="BA118" s="88"/>
      <c r="BB118" s="298" t="str">
        <f>IF($BB$107="","",$BB$107)</f>
        <v/>
      </c>
      <c r="BC118" s="299"/>
      <c r="BD118" s="74"/>
      <c r="BE118" s="75"/>
      <c r="BF118" s="75"/>
      <c r="BG118" s="75"/>
      <c r="BH118" s="75"/>
      <c r="BI118" s="75"/>
      <c r="BJ118" s="75"/>
      <c r="BK118" s="75"/>
      <c r="BL118" s="75"/>
      <c r="BM118" s="76"/>
      <c r="BN118" s="254"/>
      <c r="BO118" s="256"/>
      <c r="BP118" s="77"/>
      <c r="BQ118" s="77"/>
      <c r="BR118" s="77"/>
      <c r="BS118" s="78"/>
      <c r="BT118" s="75"/>
      <c r="BU118" s="75"/>
      <c r="BV118" s="75"/>
      <c r="BW118" s="75"/>
      <c r="BX118" s="254"/>
      <c r="BY118" s="76"/>
      <c r="BZ118" s="75"/>
      <c r="CA118" s="75"/>
      <c r="CB118" s="75"/>
      <c r="CC118" s="75"/>
      <c r="CD118" s="75"/>
      <c r="CE118" s="75"/>
      <c r="CF118" s="75"/>
      <c r="CG118" s="75"/>
      <c r="CH118" s="98" t="s">
        <v>2</v>
      </c>
      <c r="CJ118" s="135">
        <f>$C$24</f>
        <v>17</v>
      </c>
      <c r="CK118" s="135" t="str">
        <f t="shared" si="9"/>
        <v>Iniciados</v>
      </c>
      <c r="CL118" s="135" t="str">
        <f t="shared" si="10"/>
        <v>Pares</v>
      </c>
      <c r="CM118" s="135" t="str">
        <f t="shared" si="11"/>
        <v>Femininos</v>
      </c>
      <c r="CN118" s="135" t="str">
        <f>$C$5</f>
        <v>Grupo A</v>
      </c>
      <c r="CO118" s="135" t="str">
        <f>$D$24</f>
        <v>A Costa/M Gomes (Centro)</v>
      </c>
      <c r="CP118" s="135" t="str">
        <f>$D$25</f>
        <v/>
      </c>
    </row>
    <row r="119" spans="53:94" ht="15" hidden="1" customHeight="1">
      <c r="BA119" s="88"/>
      <c r="BB119" s="300"/>
      <c r="BC119" s="301"/>
      <c r="BD119" s="79"/>
      <c r="BE119" s="80"/>
      <c r="BF119" s="80"/>
      <c r="BG119" s="80"/>
      <c r="BH119" s="80"/>
      <c r="BI119" s="80"/>
      <c r="BJ119" s="80"/>
      <c r="BK119" s="80"/>
      <c r="BL119" s="80"/>
      <c r="BM119" s="81"/>
      <c r="BN119" s="255"/>
      <c r="BO119" s="257"/>
      <c r="BP119" s="82"/>
      <c r="BQ119" s="82"/>
      <c r="BR119" s="82"/>
      <c r="BS119" s="83"/>
      <c r="BT119" s="80"/>
      <c r="BU119" s="80"/>
      <c r="BV119" s="80"/>
      <c r="BW119" s="80"/>
      <c r="BX119" s="255"/>
      <c r="BY119" s="81"/>
      <c r="BZ119" s="80"/>
      <c r="CA119" s="80"/>
      <c r="CB119" s="80"/>
      <c r="CC119" s="80"/>
      <c r="CD119" s="80"/>
      <c r="CE119" s="80"/>
      <c r="CF119" s="80"/>
      <c r="CG119" s="80"/>
      <c r="CH119" s="92"/>
      <c r="CJ119" s="135">
        <f>$C$26</f>
        <v>18</v>
      </c>
      <c r="CK119" s="135" t="str">
        <f t="shared" si="9"/>
        <v>Iniciados</v>
      </c>
      <c r="CL119" s="135" t="str">
        <f t="shared" si="10"/>
        <v>Pares</v>
      </c>
      <c r="CM119" s="135" t="str">
        <f t="shared" si="11"/>
        <v>Femininos</v>
      </c>
      <c r="CN119" s="135" t="str">
        <f>$C$5</f>
        <v>Grupo A</v>
      </c>
      <c r="CO119" s="135" t="str">
        <f>$D$26</f>
        <v>A Pereira/B Pereira (Norte)</v>
      </c>
      <c r="CP119" s="135" t="str">
        <f>$D$27</f>
        <v>M Henriques/M Afonso (Lisboa)</v>
      </c>
    </row>
    <row r="120" spans="53:94" ht="12.75" hidden="1" customHeight="1">
      <c r="BA120" s="88"/>
      <c r="BB120" s="84"/>
      <c r="BC120" s="84"/>
      <c r="BD120" s="100">
        <v>1</v>
      </c>
      <c r="BE120" s="100">
        <v>2</v>
      </c>
      <c r="BF120" s="100">
        <v>3</v>
      </c>
      <c r="BG120" s="100">
        <v>4</v>
      </c>
      <c r="BH120" s="100">
        <v>5</v>
      </c>
      <c r="BI120" s="100">
        <v>6</v>
      </c>
      <c r="BJ120" s="100">
        <v>7</v>
      </c>
      <c r="BK120" s="100">
        <v>8</v>
      </c>
      <c r="BL120" s="100">
        <v>9</v>
      </c>
      <c r="BM120" s="100">
        <v>10</v>
      </c>
      <c r="BN120" s="100">
        <v>11</v>
      </c>
      <c r="BO120" s="100">
        <v>12</v>
      </c>
      <c r="BP120" s="100">
        <v>13</v>
      </c>
      <c r="BQ120" s="100">
        <v>14</v>
      </c>
      <c r="BR120" s="100">
        <v>15</v>
      </c>
      <c r="BS120" s="100">
        <v>16</v>
      </c>
      <c r="BT120" s="100">
        <v>17</v>
      </c>
      <c r="BU120" s="100">
        <v>18</v>
      </c>
      <c r="BV120" s="100">
        <v>19</v>
      </c>
      <c r="BW120" s="100">
        <v>20</v>
      </c>
      <c r="BX120" s="100">
        <v>21</v>
      </c>
      <c r="BY120" s="100">
        <v>22</v>
      </c>
      <c r="BZ120" s="100">
        <v>23</v>
      </c>
      <c r="CA120" s="100">
        <v>24</v>
      </c>
      <c r="CB120" s="100">
        <v>25</v>
      </c>
      <c r="CC120" s="100">
        <v>26</v>
      </c>
      <c r="CD120" s="100">
        <v>27</v>
      </c>
      <c r="CE120" s="100">
        <v>28</v>
      </c>
      <c r="CF120" s="100">
        <v>29</v>
      </c>
      <c r="CG120" s="100">
        <v>30</v>
      </c>
      <c r="CH120" s="101"/>
      <c r="CJ120" s="135">
        <f>$J$24</f>
        <v>19</v>
      </c>
      <c r="CK120" s="135" t="str">
        <f t="shared" si="9"/>
        <v>Iniciados</v>
      </c>
      <c r="CL120" s="135" t="str">
        <f t="shared" si="10"/>
        <v>Pares</v>
      </c>
      <c r="CM120" s="135" t="str">
        <f t="shared" si="11"/>
        <v>Femininos</v>
      </c>
      <c r="CN120" s="135" t="str">
        <f>$J$5</f>
        <v>Grupo B</v>
      </c>
      <c r="CO120" s="135" t="str">
        <f>$K$24</f>
        <v>S Anica/S Anica (Lisboa)</v>
      </c>
      <c r="CP120" s="135" t="str">
        <f>$K$25</f>
        <v/>
      </c>
    </row>
    <row r="121" spans="53:94" ht="15" hidden="1" customHeight="1">
      <c r="BA121" s="88"/>
      <c r="BB121" s="298" t="str">
        <f>IF($BB$105="","",$BB$105)</f>
        <v>M Henriques/M Afonso (Lisboa)</v>
      </c>
      <c r="BC121" s="299"/>
      <c r="BD121" s="74"/>
      <c r="BE121" s="75"/>
      <c r="BF121" s="75"/>
      <c r="BG121" s="75"/>
      <c r="BH121" s="75"/>
      <c r="BI121" s="75"/>
      <c r="BJ121" s="75"/>
      <c r="BK121" s="75"/>
      <c r="BL121" s="75"/>
      <c r="BM121" s="76"/>
      <c r="BN121" s="254"/>
      <c r="BO121" s="256"/>
      <c r="BP121" s="77"/>
      <c r="BQ121" s="77"/>
      <c r="BR121" s="77"/>
      <c r="BS121" s="78"/>
      <c r="BT121" s="75"/>
      <c r="BU121" s="75"/>
      <c r="BV121" s="75"/>
      <c r="BW121" s="75"/>
      <c r="BX121" s="254"/>
      <c r="BY121" s="76"/>
      <c r="BZ121" s="75"/>
      <c r="CA121" s="75"/>
      <c r="CB121" s="75"/>
      <c r="CC121" s="75"/>
      <c r="CD121" s="75"/>
      <c r="CE121" s="75"/>
      <c r="CF121" s="75"/>
      <c r="CG121" s="75"/>
      <c r="CH121" s="92"/>
      <c r="CJ121" s="135">
        <f>$J$26</f>
        <v>20</v>
      </c>
      <c r="CK121" s="135" t="str">
        <f t="shared" si="9"/>
        <v>Iniciados</v>
      </c>
      <c r="CL121" s="135" t="str">
        <f t="shared" si="10"/>
        <v>Pares</v>
      </c>
      <c r="CM121" s="135" t="str">
        <f t="shared" si="11"/>
        <v>Femininos</v>
      </c>
      <c r="CN121" s="135" t="str">
        <f>$J$5</f>
        <v>Grupo B</v>
      </c>
      <c r="CO121" s="135" t="str">
        <f>$K$26</f>
        <v>I Folgado/C Aragonês (Alentejo)</v>
      </c>
      <c r="CP121" s="135" t="str">
        <f>$K$27</f>
        <v>A Nunes/S Barros (Norte)</v>
      </c>
    </row>
    <row r="122" spans="53:94" ht="15" hidden="1" customHeight="1">
      <c r="BA122" s="88"/>
      <c r="BB122" s="300"/>
      <c r="BC122" s="301"/>
      <c r="BD122" s="79"/>
      <c r="BE122" s="80"/>
      <c r="BF122" s="80"/>
      <c r="BG122" s="80"/>
      <c r="BH122" s="80"/>
      <c r="BI122" s="80"/>
      <c r="BJ122" s="80"/>
      <c r="BK122" s="80"/>
      <c r="BL122" s="80"/>
      <c r="BM122" s="81"/>
      <c r="BN122" s="255"/>
      <c r="BO122" s="257"/>
      <c r="BP122" s="82"/>
      <c r="BQ122" s="82"/>
      <c r="BR122" s="82"/>
      <c r="BS122" s="83"/>
      <c r="BT122" s="80"/>
      <c r="BU122" s="80"/>
      <c r="BV122" s="80"/>
      <c r="BW122" s="80"/>
      <c r="BX122" s="255"/>
      <c r="BY122" s="81"/>
      <c r="BZ122" s="80"/>
      <c r="CA122" s="80"/>
      <c r="CB122" s="80"/>
      <c r="CC122" s="80"/>
      <c r="CD122" s="80"/>
      <c r="CE122" s="80"/>
      <c r="CF122" s="80"/>
      <c r="CG122" s="80"/>
      <c r="CH122" s="92"/>
      <c r="CJ122" s="135">
        <f>$Q$24</f>
        <v>21</v>
      </c>
      <c r="CK122" s="135" t="str">
        <f t="shared" si="9"/>
        <v>Iniciados</v>
      </c>
      <c r="CL122" s="135" t="str">
        <f t="shared" si="10"/>
        <v>Pares</v>
      </c>
      <c r="CM122" s="135" t="str">
        <f t="shared" si="11"/>
        <v>Femininos</v>
      </c>
      <c r="CN122" s="135" t="str">
        <f>$Q$5</f>
        <v>Grupo C</v>
      </c>
      <c r="CO122" s="135" t="str">
        <f>$R$24</f>
        <v>A Vitó/M Neves (Norte)</v>
      </c>
      <c r="CP122" s="135" t="str">
        <f>$R$25</f>
        <v/>
      </c>
    </row>
    <row r="123" spans="53:94" ht="15" hidden="1" customHeight="1">
      <c r="BA123" s="88"/>
      <c r="BB123" s="298" t="str">
        <f>IF($BB$107="","",$BB$107)</f>
        <v/>
      </c>
      <c r="BC123" s="299"/>
      <c r="BD123" s="74"/>
      <c r="BE123" s="75"/>
      <c r="BF123" s="75"/>
      <c r="BG123" s="75"/>
      <c r="BH123" s="75"/>
      <c r="BI123" s="75"/>
      <c r="BJ123" s="75"/>
      <c r="BK123" s="75"/>
      <c r="BL123" s="75"/>
      <c r="BM123" s="76"/>
      <c r="BN123" s="254"/>
      <c r="BO123" s="256"/>
      <c r="BP123" s="77"/>
      <c r="BQ123" s="77"/>
      <c r="BR123" s="77"/>
      <c r="BS123" s="78"/>
      <c r="BT123" s="75"/>
      <c r="BU123" s="75"/>
      <c r="BV123" s="75"/>
      <c r="BW123" s="75"/>
      <c r="BX123" s="254"/>
      <c r="BY123" s="76"/>
      <c r="BZ123" s="75"/>
      <c r="CA123" s="75"/>
      <c r="CB123" s="75"/>
      <c r="CC123" s="75"/>
      <c r="CD123" s="75"/>
      <c r="CE123" s="75"/>
      <c r="CF123" s="75"/>
      <c r="CG123" s="75"/>
      <c r="CH123" s="98" t="s">
        <v>3</v>
      </c>
      <c r="CJ123" s="135">
        <f>$Q$26</f>
        <v>22</v>
      </c>
      <c r="CK123" s="135" t="str">
        <f t="shared" si="9"/>
        <v>Iniciados</v>
      </c>
      <c r="CL123" s="135" t="str">
        <f t="shared" si="10"/>
        <v>Pares</v>
      </c>
      <c r="CM123" s="135" t="str">
        <f t="shared" si="11"/>
        <v>Femininos</v>
      </c>
      <c r="CN123" s="135" t="str">
        <f>$Q$5</f>
        <v>Grupo C</v>
      </c>
      <c r="CO123" s="135" t="str">
        <f>$R$26</f>
        <v>A Rodrigues/R Pinto (Lisboa)</v>
      </c>
      <c r="CP123" s="135" t="str">
        <f>$R$27</f>
        <v>D Pereira/M Conceição (Centro)</v>
      </c>
    </row>
    <row r="124" spans="53:94" ht="15" hidden="1" customHeight="1">
      <c r="BA124" s="88"/>
      <c r="BB124" s="300"/>
      <c r="BC124" s="301"/>
      <c r="BD124" s="79"/>
      <c r="BE124" s="80"/>
      <c r="BF124" s="80"/>
      <c r="BG124" s="80"/>
      <c r="BH124" s="80"/>
      <c r="BI124" s="80"/>
      <c r="BJ124" s="80"/>
      <c r="BK124" s="80"/>
      <c r="BL124" s="80"/>
      <c r="BM124" s="81"/>
      <c r="BN124" s="255"/>
      <c r="BO124" s="257"/>
      <c r="BP124" s="82"/>
      <c r="BQ124" s="82"/>
      <c r="BR124" s="82"/>
      <c r="BS124" s="83"/>
      <c r="BT124" s="80"/>
      <c r="BU124" s="80"/>
      <c r="BV124" s="80"/>
      <c r="BW124" s="80"/>
      <c r="BX124" s="255"/>
      <c r="BY124" s="81"/>
      <c r="BZ124" s="80"/>
      <c r="CA124" s="80"/>
      <c r="CB124" s="80"/>
      <c r="CC124" s="80"/>
      <c r="CD124" s="80"/>
      <c r="CE124" s="80"/>
      <c r="CF124" s="80"/>
      <c r="CG124" s="80"/>
      <c r="CH124" s="92"/>
      <c r="CJ124" s="135">
        <f>$X$24</f>
        <v>23</v>
      </c>
      <c r="CK124" s="135" t="str">
        <f t="shared" si="9"/>
        <v>Iniciados</v>
      </c>
      <c r="CL124" s="135" t="str">
        <f t="shared" si="10"/>
        <v>Pares</v>
      </c>
      <c r="CM124" s="135" t="str">
        <f t="shared" si="11"/>
        <v>Femininos</v>
      </c>
      <c r="CN124" s="135" t="str">
        <f>$X$5</f>
        <v>Grupo D</v>
      </c>
      <c r="CO124" s="135" t="str">
        <f>$Y$24</f>
        <v>G Mouteira/M Maia (Norte)</v>
      </c>
      <c r="CP124" s="135" t="str">
        <f>$Y$25</f>
        <v/>
      </c>
    </row>
    <row r="125" spans="53:94" ht="65.25" hidden="1" customHeight="1">
      <c r="BA125" s="102"/>
      <c r="BB125" s="103" t="s">
        <v>36</v>
      </c>
      <c r="BC125" s="104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1"/>
      <c r="CJ125" s="135">
        <f>$X$26</f>
        <v>24</v>
      </c>
      <c r="CK125" s="135" t="str">
        <f t="shared" si="9"/>
        <v>Iniciados</v>
      </c>
      <c r="CL125" s="135" t="str">
        <f t="shared" si="10"/>
        <v>Pares</v>
      </c>
      <c r="CM125" s="135" t="str">
        <f t="shared" si="11"/>
        <v>Femininos</v>
      </c>
      <c r="CN125" s="135" t="str">
        <f>$X$5</f>
        <v>Grupo D</v>
      </c>
      <c r="CO125" s="135" t="str">
        <f>$Y$26</f>
        <v/>
      </c>
      <c r="CP125" s="135" t="str">
        <f>$Y$27</f>
        <v>C Abreu/M Marques (Lisboa)</v>
      </c>
    </row>
    <row r="126" spans="53:94" ht="136.5" hidden="1" customHeight="1">
      <c r="BA126" s="314" t="s">
        <v>64</v>
      </c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J126" s="135">
        <f>$H$31</f>
        <v>25</v>
      </c>
      <c r="CK126" s="135" t="str">
        <f t="shared" si="9"/>
        <v>Iniciados</v>
      </c>
      <c r="CL126" s="135" t="str">
        <f t="shared" si="10"/>
        <v>Pares</v>
      </c>
      <c r="CM126" s="135" t="str">
        <f t="shared" si="11"/>
        <v>Femininos</v>
      </c>
      <c r="CN126" s="135" t="str">
        <f>"1º Jogo dos 1/4 final"</f>
        <v>1º Jogo dos 1/4 final</v>
      </c>
      <c r="CO126" s="135" t="str">
        <f>$C$30</f>
        <v>1º do grupo A</v>
      </c>
      <c r="CP126" s="135" t="str">
        <f>$C$32</f>
        <v>2º do grupo B</v>
      </c>
    </row>
    <row r="127" spans="53:94" ht="64.5" hidden="1" customHeight="1">
      <c r="BA127" s="87"/>
      <c r="BB127" s="315" t="str">
        <f>IF(BC128="","",CONCATENATE(VLOOKUP(BC128,$CJ$102:$CP$145,2,FALSE),"  -  ",VLOOKUP(BC128,$CJ$102:$CP$145,3,FALSE),,"  -  ",VLOOKUP(BC128,$CJ$102:$CP$145,4,FALSE),"  -  ",VLOOKUP(BC128,$CJ$102:$CP$145,5,FALSE)))</f>
        <v>Iniciados  -  Pares  -  Femininos  -  Grupo A</v>
      </c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76"/>
      <c r="CJ127" s="135">
        <f>$H$35</f>
        <v>26</v>
      </c>
      <c r="CK127" s="135" t="str">
        <f t="shared" si="9"/>
        <v>Iniciados</v>
      </c>
      <c r="CL127" s="135" t="str">
        <f t="shared" si="10"/>
        <v>Pares</v>
      </c>
      <c r="CM127" s="135" t="str">
        <f t="shared" si="11"/>
        <v>Femininos</v>
      </c>
      <c r="CN127" s="135" t="str">
        <f>"2º Jogo dos 1/4 final"</f>
        <v>2º Jogo dos 1/4 final</v>
      </c>
      <c r="CO127" s="135" t="str">
        <f>$C$34</f>
        <v>2º do grupo D</v>
      </c>
      <c r="CP127" s="135" t="str">
        <f>$C$36</f>
        <v>1º do grupo C</v>
      </c>
    </row>
    <row r="128" spans="53:94" ht="30" hidden="1" customHeight="1">
      <c r="BA128" s="88"/>
      <c r="BB128" s="89" t="s">
        <v>26</v>
      </c>
      <c r="BC128" s="137">
        <f>IF($AI$27="","",$AI$27)</f>
        <v>2</v>
      </c>
      <c r="BD128" s="84"/>
      <c r="BE128" s="84"/>
      <c r="BF128" s="84"/>
      <c r="BG128" s="84"/>
      <c r="BH128" s="84"/>
      <c r="BI128" s="84"/>
      <c r="BJ128" s="251" t="s">
        <v>65</v>
      </c>
      <c r="BK128" s="84"/>
      <c r="BL128" s="84"/>
      <c r="BM128" s="252"/>
      <c r="BN128" s="253"/>
      <c r="BO128" s="90"/>
      <c r="BP128" s="90"/>
      <c r="BQ128" s="90"/>
      <c r="BR128" s="91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92"/>
      <c r="CJ128" s="135">
        <f>$H$39</f>
        <v>27</v>
      </c>
      <c r="CK128" s="135" t="str">
        <f t="shared" si="9"/>
        <v>Iniciados</v>
      </c>
      <c r="CL128" s="135" t="str">
        <f t="shared" si="10"/>
        <v>Pares</v>
      </c>
      <c r="CM128" s="135" t="str">
        <f t="shared" si="11"/>
        <v>Femininos</v>
      </c>
      <c r="CN128" s="135" t="str">
        <f>"3º Jogo dos 1/4 final"</f>
        <v>3º Jogo dos 1/4 final</v>
      </c>
      <c r="CO128" s="135" t="str">
        <f>$C$38</f>
        <v>1º do grupo B</v>
      </c>
      <c r="CP128" s="135" t="str">
        <f>$C$40</f>
        <v>2º do grupo A</v>
      </c>
    </row>
    <row r="129" spans="53:94" ht="7.5" hidden="1" customHeight="1">
      <c r="BA129" s="88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92"/>
      <c r="CJ129" s="135">
        <f>$H$43</f>
        <v>28</v>
      </c>
      <c r="CK129" s="135" t="str">
        <f t="shared" si="9"/>
        <v>Iniciados</v>
      </c>
      <c r="CL129" s="135" t="str">
        <f t="shared" si="10"/>
        <v>Pares</v>
      </c>
      <c r="CM129" s="135" t="str">
        <f t="shared" si="11"/>
        <v>Femininos</v>
      </c>
      <c r="CN129" s="135" t="str">
        <f>"4º Jogo dos 1/4 final"</f>
        <v>4º Jogo dos 1/4 final</v>
      </c>
      <c r="CO129" s="135" t="str">
        <f>$C$42</f>
        <v>2º do grupo C</v>
      </c>
      <c r="CP129" s="135" t="str">
        <f>$C$44</f>
        <v>1º do grupo D</v>
      </c>
    </row>
    <row r="130" spans="53:94" ht="17.25" hidden="1" customHeight="1" thickBot="1">
      <c r="BA130" s="88"/>
      <c r="BB130" s="316" t="s">
        <v>35</v>
      </c>
      <c r="BC130" s="316"/>
      <c r="BD130" s="93" t="s">
        <v>21</v>
      </c>
      <c r="BE130" s="93"/>
      <c r="BF130" s="93"/>
      <c r="BG130" s="93" t="s">
        <v>22</v>
      </c>
      <c r="BH130" s="93"/>
      <c r="BI130" s="93"/>
      <c r="BJ130" s="93" t="s">
        <v>23</v>
      </c>
      <c r="BK130" s="93"/>
      <c r="BL130" s="93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92"/>
      <c r="CJ130" s="135">
        <f>$O$33</f>
        <v>29</v>
      </c>
      <c r="CK130" s="135" t="str">
        <f t="shared" si="9"/>
        <v>Iniciados</v>
      </c>
      <c r="CL130" s="135" t="str">
        <f t="shared" si="10"/>
        <v>Pares</v>
      </c>
      <c r="CM130" s="135" t="str">
        <f t="shared" si="11"/>
        <v>Femininos</v>
      </c>
      <c r="CN130" s="135" t="str">
        <f>"1ª Meia Final"</f>
        <v>1ª Meia Final</v>
      </c>
      <c r="CO130" s="135" t="str">
        <f>$I$31</f>
        <v>1ª Meia Final-Jogador1</v>
      </c>
      <c r="CP130" s="135" t="str">
        <f>$I$35</f>
        <v>1ª Meia Final-Jogador2</v>
      </c>
    </row>
    <row r="131" spans="53:94" ht="19.5" hidden="1" customHeight="1">
      <c r="BA131" s="88"/>
      <c r="BB131" s="302" t="str">
        <f>IF(BC128="","",VLOOKUP(BC128,$CJ$102:$CP$145,6,FALSE))</f>
        <v>A Costa/M Gomes (Centro)</v>
      </c>
      <c r="BC131" s="303"/>
      <c r="BD131" s="302"/>
      <c r="BE131" s="306"/>
      <c r="BF131" s="303"/>
      <c r="BG131" s="302"/>
      <c r="BH131" s="306"/>
      <c r="BI131" s="303"/>
      <c r="BJ131" s="302"/>
      <c r="BK131" s="306"/>
      <c r="BL131" s="303"/>
      <c r="BM131" s="72"/>
      <c r="BN131" s="72"/>
      <c r="BO131" s="308"/>
      <c r="BP131" s="308"/>
      <c r="BQ131" s="308"/>
      <c r="BR131" s="94"/>
      <c r="BS131" s="95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92"/>
      <c r="CJ131" s="135">
        <f>$O$41</f>
        <v>30</v>
      </c>
      <c r="CK131" s="135" t="str">
        <f t="shared" si="9"/>
        <v>Iniciados</v>
      </c>
      <c r="CL131" s="135" t="str">
        <f t="shared" si="10"/>
        <v>Pares</v>
      </c>
      <c r="CM131" s="135" t="str">
        <f t="shared" si="11"/>
        <v>Femininos</v>
      </c>
      <c r="CN131" s="135" t="str">
        <f>"2ª Meia Final"</f>
        <v>2ª Meia Final</v>
      </c>
      <c r="CO131" s="135" t="str">
        <f>$I$39</f>
        <v>2ª Meia Final-Jogador1</v>
      </c>
      <c r="CP131" s="135" t="str">
        <f>$I$43</f>
        <v>2ª Meia Final-Jogador2</v>
      </c>
    </row>
    <row r="132" spans="53:94" ht="19.5" hidden="1" customHeight="1" thickBot="1">
      <c r="BA132" s="88"/>
      <c r="BB132" s="304"/>
      <c r="BC132" s="305"/>
      <c r="BD132" s="304"/>
      <c r="BE132" s="307"/>
      <c r="BF132" s="305"/>
      <c r="BG132" s="304"/>
      <c r="BH132" s="307"/>
      <c r="BI132" s="305"/>
      <c r="BJ132" s="304"/>
      <c r="BK132" s="307"/>
      <c r="BL132" s="305"/>
      <c r="BM132" s="72"/>
      <c r="BN132" s="72"/>
      <c r="BO132" s="308"/>
      <c r="BP132" s="308"/>
      <c r="BQ132" s="308"/>
      <c r="BR132" s="94"/>
      <c r="BS132" s="95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92"/>
      <c r="CJ132" s="135">
        <f>$V$37</f>
        <v>31</v>
      </c>
      <c r="CK132" s="135" t="str">
        <f t="shared" si="9"/>
        <v>Iniciados</v>
      </c>
      <c r="CL132" s="135" t="str">
        <f t="shared" si="10"/>
        <v>Pares</v>
      </c>
      <c r="CM132" s="135" t="str">
        <f t="shared" si="11"/>
        <v>Femininos</v>
      </c>
      <c r="CN132" s="135" t="str">
        <f>"Jogo 3º/4º lugar"</f>
        <v>Jogo 3º/4º lugar</v>
      </c>
      <c r="CO132" s="135" t="str">
        <f>$P$35</f>
        <v>Disputa 3º/4º  Jogador1</v>
      </c>
      <c r="CP132" s="135" t="str">
        <f>$P$39</f>
        <v>Disputa 3º/4º  Jogador2</v>
      </c>
    </row>
    <row r="133" spans="53:94" ht="19.5" hidden="1" customHeight="1">
      <c r="BA133" s="88"/>
      <c r="BB133" s="302" t="str">
        <f>IF(BC128="","",VLOOKUP(BC128,$CJ$102:$CP$145,7,FALSE))</f>
        <v>A Pereira/B Pereira (Norte)</v>
      </c>
      <c r="BC133" s="303"/>
      <c r="BD133" s="302"/>
      <c r="BE133" s="306"/>
      <c r="BF133" s="303"/>
      <c r="BG133" s="302"/>
      <c r="BH133" s="306"/>
      <c r="BI133" s="303"/>
      <c r="BJ133" s="302"/>
      <c r="BK133" s="306"/>
      <c r="BL133" s="303"/>
      <c r="BM133" s="72"/>
      <c r="BN133" s="72"/>
      <c r="BO133" s="308"/>
      <c r="BP133" s="308"/>
      <c r="BQ133" s="308"/>
      <c r="BR133" s="94"/>
      <c r="BS133" s="95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92"/>
      <c r="CJ133" s="136">
        <f>$W$37</f>
        <v>32</v>
      </c>
      <c r="CK133" s="136" t="str">
        <f t="shared" si="9"/>
        <v>Iniciados</v>
      </c>
      <c r="CL133" s="136" t="str">
        <f t="shared" si="10"/>
        <v>Pares</v>
      </c>
      <c r="CM133" s="136" t="str">
        <f t="shared" si="11"/>
        <v>Femininos</v>
      </c>
      <c r="CN133" s="136" t="str">
        <f>"Final"</f>
        <v>Final</v>
      </c>
      <c r="CO133" s="136" t="str">
        <f>$P$33</f>
        <v>Final-Jogador1</v>
      </c>
      <c r="CP133" s="136" t="str">
        <f>$P$41</f>
        <v>Final-Jogador2</v>
      </c>
    </row>
    <row r="134" spans="53:94" ht="19.5" hidden="1" customHeight="1" thickBot="1">
      <c r="BA134" s="88"/>
      <c r="BB134" s="304"/>
      <c r="BC134" s="305"/>
      <c r="BD134" s="304"/>
      <c r="BE134" s="307"/>
      <c r="BF134" s="305"/>
      <c r="BG134" s="304"/>
      <c r="BH134" s="307"/>
      <c r="BI134" s="305"/>
      <c r="BJ134" s="304"/>
      <c r="BK134" s="307"/>
      <c r="BL134" s="305"/>
      <c r="BM134" s="72"/>
      <c r="BN134" s="72"/>
      <c r="BO134" s="308"/>
      <c r="BP134" s="308"/>
      <c r="BQ134" s="308"/>
      <c r="BR134" s="96"/>
      <c r="BS134" s="95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92"/>
      <c r="CJ134" s="135">
        <f>$O$52</f>
        <v>33</v>
      </c>
      <c r="CK134" s="135" t="str">
        <f t="shared" si="9"/>
        <v>Iniciados</v>
      </c>
      <c r="CL134" s="135" t="str">
        <f t="shared" si="10"/>
        <v>Pares</v>
      </c>
      <c r="CM134" s="135" t="str">
        <f t="shared" si="11"/>
        <v>Femininos</v>
      </c>
      <c r="CN134" s="135" t="str">
        <f>"Disp 5º-8º - Jogo1"</f>
        <v>Disp 5º-8º - Jogo1</v>
      </c>
      <c r="CO134" s="135" t="str">
        <f>$I$50</f>
        <v>Vencido do jogo 25</v>
      </c>
      <c r="CP134" s="135" t="str">
        <f>$I$54</f>
        <v>Vencido do jogo 26</v>
      </c>
    </row>
    <row r="135" spans="53:94" ht="22.5" hidden="1" customHeight="1" thickBot="1">
      <c r="BA135" s="88"/>
      <c r="BB135" s="97" t="s">
        <v>24</v>
      </c>
      <c r="BC135" s="309"/>
      <c r="BD135" s="310"/>
      <c r="BE135" s="310"/>
      <c r="BF135" s="310"/>
      <c r="BG135" s="311"/>
      <c r="BH135" s="311"/>
      <c r="BI135" s="311"/>
      <c r="BJ135" s="311"/>
      <c r="BK135" s="311"/>
      <c r="BL135" s="311"/>
      <c r="BM135" s="312"/>
      <c r="BN135" s="313"/>
      <c r="BO135" s="313"/>
      <c r="BP135" s="313"/>
      <c r="BQ135" s="313"/>
      <c r="BR135" s="95"/>
      <c r="BS135" s="95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92"/>
      <c r="CJ135" s="135">
        <f>$O$60</f>
        <v>34</v>
      </c>
      <c r="CK135" s="135" t="str">
        <f t="shared" si="9"/>
        <v>Iniciados</v>
      </c>
      <c r="CL135" s="135" t="str">
        <f t="shared" si="10"/>
        <v>Pares</v>
      </c>
      <c r="CM135" s="135" t="str">
        <f t="shared" si="11"/>
        <v>Femininos</v>
      </c>
      <c r="CN135" s="135" t="str">
        <f>"Disp 5º-8º - Jogo2"</f>
        <v>Disp 5º-8º - Jogo2</v>
      </c>
      <c r="CO135" s="135" t="str">
        <f>$I$58</f>
        <v>Vencido do jogo 27</v>
      </c>
      <c r="CP135" s="135" t="str">
        <f>$I$62</f>
        <v>Vencido do jogo 28</v>
      </c>
    </row>
    <row r="136" spans="53:94" ht="18.75" hidden="1" customHeight="1">
      <c r="BA136" s="88"/>
      <c r="BB136" s="73" t="s">
        <v>35</v>
      </c>
      <c r="BC136" s="73"/>
      <c r="BD136" s="73"/>
      <c r="BE136" s="73"/>
      <c r="BF136" s="73"/>
      <c r="BG136" s="73"/>
      <c r="BH136" s="7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92"/>
      <c r="CJ136" s="135">
        <f>$V$56</f>
        <v>35</v>
      </c>
      <c r="CK136" s="135" t="str">
        <f t="shared" si="9"/>
        <v>Iniciados</v>
      </c>
      <c r="CL136" s="135" t="str">
        <f t="shared" si="10"/>
        <v>Pares</v>
      </c>
      <c r="CM136" s="135" t="str">
        <f t="shared" si="11"/>
        <v>Femininos</v>
      </c>
      <c r="CN136" s="135" t="str">
        <f>"Jogo 7º/8º lugar"</f>
        <v>Jogo 7º/8º lugar</v>
      </c>
      <c r="CO136" s="135" t="str">
        <f>$P$54</f>
        <v>Disputa 7º/8º  Jogador1</v>
      </c>
      <c r="CP136" s="135" t="str">
        <f>$P$58</f>
        <v>Disputa 7º/8º  Jogador2</v>
      </c>
    </row>
    <row r="137" spans="53:94" ht="15" hidden="1" customHeight="1">
      <c r="BA137" s="88"/>
      <c r="BB137" s="298" t="str">
        <f>IF($BB$131="","",$BB$131)</f>
        <v>A Costa/M Gomes (Centro)</v>
      </c>
      <c r="BC137" s="299"/>
      <c r="BD137" s="74"/>
      <c r="BE137" s="75"/>
      <c r="BF137" s="75"/>
      <c r="BG137" s="75"/>
      <c r="BH137" s="75"/>
      <c r="BI137" s="75"/>
      <c r="BJ137" s="75"/>
      <c r="BK137" s="75"/>
      <c r="BL137" s="75"/>
      <c r="BM137" s="76"/>
      <c r="BN137" s="254"/>
      <c r="BO137" s="256"/>
      <c r="BP137" s="77"/>
      <c r="BQ137" s="77"/>
      <c r="BR137" s="77"/>
      <c r="BS137" s="78"/>
      <c r="BT137" s="75"/>
      <c r="BU137" s="75"/>
      <c r="BV137" s="75"/>
      <c r="BW137" s="75"/>
      <c r="BX137" s="254"/>
      <c r="BY137" s="76"/>
      <c r="BZ137" s="75"/>
      <c r="CA137" s="75"/>
      <c r="CB137" s="75"/>
      <c r="CC137" s="75"/>
      <c r="CD137" s="75"/>
      <c r="CE137" s="75"/>
      <c r="CF137" s="75"/>
      <c r="CG137" s="75"/>
      <c r="CH137" s="92"/>
      <c r="CJ137" s="136">
        <f>$W$56</f>
        <v>36</v>
      </c>
      <c r="CK137" s="136" t="str">
        <f t="shared" si="9"/>
        <v>Iniciados</v>
      </c>
      <c r="CL137" s="136" t="str">
        <f t="shared" si="10"/>
        <v>Pares</v>
      </c>
      <c r="CM137" s="136" t="str">
        <f t="shared" si="11"/>
        <v>Femininos</v>
      </c>
      <c r="CN137" s="136" t="str">
        <f>"Jogo 5º/6º lugar"</f>
        <v>Jogo 5º/6º lugar</v>
      </c>
      <c r="CO137" s="136" t="str">
        <f>$P$52</f>
        <v>Disputa 5º/6º Jogador1</v>
      </c>
      <c r="CP137" s="136" t="str">
        <f>$P$60</f>
        <v>Disputa 5º/6º Jogador2</v>
      </c>
    </row>
    <row r="138" spans="53:94" ht="15" hidden="1" customHeight="1">
      <c r="BA138" s="88"/>
      <c r="BB138" s="300"/>
      <c r="BC138" s="301"/>
      <c r="BD138" s="79"/>
      <c r="BE138" s="80"/>
      <c r="BF138" s="80"/>
      <c r="BG138" s="80"/>
      <c r="BH138" s="80"/>
      <c r="BI138" s="80"/>
      <c r="BJ138" s="80"/>
      <c r="BK138" s="80"/>
      <c r="BL138" s="80"/>
      <c r="BM138" s="81"/>
      <c r="BN138" s="255"/>
      <c r="BO138" s="257"/>
      <c r="BP138" s="82"/>
      <c r="BQ138" s="82"/>
      <c r="BR138" s="82"/>
      <c r="BS138" s="83"/>
      <c r="BT138" s="80"/>
      <c r="BU138" s="80"/>
      <c r="BV138" s="80"/>
      <c r="BW138" s="80"/>
      <c r="BX138" s="255"/>
      <c r="BY138" s="81"/>
      <c r="BZ138" s="80"/>
      <c r="CA138" s="80"/>
      <c r="CB138" s="80"/>
      <c r="CC138" s="80"/>
      <c r="CD138" s="80"/>
      <c r="CE138" s="80"/>
      <c r="CF138" s="80"/>
      <c r="CG138" s="80"/>
      <c r="CH138" s="98" t="s">
        <v>1</v>
      </c>
      <c r="CJ138" s="136">
        <v>37</v>
      </c>
      <c r="CK138" s="136" t="str">
        <f t="shared" si="9"/>
        <v>Iniciados</v>
      </c>
      <c r="CL138" s="136" t="str">
        <f t="shared" si="10"/>
        <v>Pares</v>
      </c>
      <c r="CM138" s="136" t="str">
        <f t="shared" si="11"/>
        <v>Femininos</v>
      </c>
      <c r="CN138" s="136" t="str">
        <f>"Disp 9º-12º - Jogo1"</f>
        <v>Disp 9º-12º - Jogo1</v>
      </c>
      <c r="CO138" s="136" t="str">
        <f>$I$68</f>
        <v>3º  do Grupo A</v>
      </c>
      <c r="CP138" s="136" t="str">
        <f>$I$72</f>
        <v>3º  do Grupo B</v>
      </c>
    </row>
    <row r="139" spans="53:94" ht="15" hidden="1" customHeight="1">
      <c r="BA139" s="88"/>
      <c r="BB139" s="298" t="str">
        <f>IF($BB$133="","",$BB$133)</f>
        <v>A Pereira/B Pereira (Norte)</v>
      </c>
      <c r="BC139" s="299"/>
      <c r="BD139" s="74"/>
      <c r="BE139" s="75"/>
      <c r="BF139" s="75"/>
      <c r="BG139" s="75"/>
      <c r="BH139" s="75"/>
      <c r="BI139" s="75"/>
      <c r="BJ139" s="75"/>
      <c r="BK139" s="75"/>
      <c r="BL139" s="75"/>
      <c r="BM139" s="76"/>
      <c r="BN139" s="254"/>
      <c r="BO139" s="256"/>
      <c r="BP139" s="77"/>
      <c r="BQ139" s="77"/>
      <c r="BR139" s="77"/>
      <c r="BS139" s="78"/>
      <c r="BT139" s="75"/>
      <c r="BU139" s="75"/>
      <c r="BV139" s="75"/>
      <c r="BW139" s="75"/>
      <c r="BX139" s="254"/>
      <c r="BY139" s="76"/>
      <c r="BZ139" s="75"/>
      <c r="CA139" s="75"/>
      <c r="CB139" s="75"/>
      <c r="CC139" s="75"/>
      <c r="CD139" s="75"/>
      <c r="CE139" s="75"/>
      <c r="CF139" s="75"/>
      <c r="CG139" s="75"/>
      <c r="CH139" s="99"/>
      <c r="CJ139" s="136">
        <v>38</v>
      </c>
      <c r="CK139" s="136" t="str">
        <f t="shared" si="9"/>
        <v>Iniciados</v>
      </c>
      <c r="CL139" s="136" t="str">
        <f t="shared" si="10"/>
        <v>Pares</v>
      </c>
      <c r="CM139" s="136" t="str">
        <f t="shared" si="11"/>
        <v>Femininos</v>
      </c>
      <c r="CN139" s="136" t="str">
        <f>"Disp 9º-12º - Jogo2"</f>
        <v>Disp 9º-12º - Jogo2</v>
      </c>
      <c r="CO139" s="136" t="str">
        <f>$I$76</f>
        <v>3º  do Grupo C</v>
      </c>
      <c r="CP139" s="136" t="str">
        <f>$I$80</f>
        <v>3º  do Grupo D</v>
      </c>
    </row>
    <row r="140" spans="53:94" ht="15" hidden="1" customHeight="1">
      <c r="BA140" s="88"/>
      <c r="BB140" s="300"/>
      <c r="BC140" s="301"/>
      <c r="BD140" s="79"/>
      <c r="BE140" s="80"/>
      <c r="BF140" s="80"/>
      <c r="BG140" s="80"/>
      <c r="BH140" s="80"/>
      <c r="BI140" s="80"/>
      <c r="BJ140" s="80"/>
      <c r="BK140" s="80"/>
      <c r="BL140" s="80"/>
      <c r="BM140" s="81"/>
      <c r="BN140" s="255"/>
      <c r="BO140" s="257"/>
      <c r="BP140" s="82"/>
      <c r="BQ140" s="82"/>
      <c r="BR140" s="82"/>
      <c r="BS140" s="83"/>
      <c r="BT140" s="80"/>
      <c r="BU140" s="80"/>
      <c r="BV140" s="80"/>
      <c r="BW140" s="80"/>
      <c r="BX140" s="255"/>
      <c r="BY140" s="81"/>
      <c r="BZ140" s="80"/>
      <c r="CA140" s="80"/>
      <c r="CB140" s="80"/>
      <c r="CC140" s="80"/>
      <c r="CD140" s="80"/>
      <c r="CE140" s="80"/>
      <c r="CF140" s="80"/>
      <c r="CG140" s="80"/>
      <c r="CH140" s="92"/>
      <c r="CJ140" s="136">
        <v>39</v>
      </c>
      <c r="CK140" s="136" t="str">
        <f t="shared" si="9"/>
        <v>Iniciados</v>
      </c>
      <c r="CL140" s="136" t="str">
        <f t="shared" si="10"/>
        <v>Pares</v>
      </c>
      <c r="CM140" s="136" t="str">
        <f t="shared" si="11"/>
        <v>Femininos</v>
      </c>
      <c r="CN140" s="136" t="str">
        <f>"Jogo 11º/12º lugar"</f>
        <v>Jogo 11º/12º lugar</v>
      </c>
      <c r="CO140" s="136" t="str">
        <f>$P$72</f>
        <v>Disputa 11º/12º  Jogador1</v>
      </c>
      <c r="CP140" s="136" t="str">
        <f>$P$76</f>
        <v>Disputa 11º/12º  Jogador2</v>
      </c>
    </row>
    <row r="141" spans="53:94" ht="12.75" hidden="1" customHeight="1">
      <c r="BA141" s="88"/>
      <c r="BB141" s="84"/>
      <c r="BC141" s="84"/>
      <c r="BD141" s="100">
        <v>1</v>
      </c>
      <c r="BE141" s="100">
        <v>2</v>
      </c>
      <c r="BF141" s="100">
        <v>3</v>
      </c>
      <c r="BG141" s="100">
        <v>4</v>
      </c>
      <c r="BH141" s="100">
        <v>5</v>
      </c>
      <c r="BI141" s="100">
        <v>6</v>
      </c>
      <c r="BJ141" s="100">
        <v>7</v>
      </c>
      <c r="BK141" s="100">
        <v>8</v>
      </c>
      <c r="BL141" s="100">
        <v>9</v>
      </c>
      <c r="BM141" s="100">
        <v>10</v>
      </c>
      <c r="BN141" s="100">
        <v>11</v>
      </c>
      <c r="BO141" s="100">
        <v>12</v>
      </c>
      <c r="BP141" s="100">
        <v>13</v>
      </c>
      <c r="BQ141" s="100">
        <v>14</v>
      </c>
      <c r="BR141" s="100">
        <v>15</v>
      </c>
      <c r="BS141" s="100">
        <v>16</v>
      </c>
      <c r="BT141" s="100">
        <v>17</v>
      </c>
      <c r="BU141" s="100">
        <v>18</v>
      </c>
      <c r="BV141" s="100">
        <v>19</v>
      </c>
      <c r="BW141" s="100">
        <v>20</v>
      </c>
      <c r="BX141" s="100">
        <v>21</v>
      </c>
      <c r="BY141" s="100">
        <v>22</v>
      </c>
      <c r="BZ141" s="100">
        <v>23</v>
      </c>
      <c r="CA141" s="100">
        <v>24</v>
      </c>
      <c r="CB141" s="100">
        <v>25</v>
      </c>
      <c r="CC141" s="100">
        <v>26</v>
      </c>
      <c r="CD141" s="100">
        <v>27</v>
      </c>
      <c r="CE141" s="100">
        <v>28</v>
      </c>
      <c r="CF141" s="100">
        <v>29</v>
      </c>
      <c r="CG141" s="100">
        <v>30</v>
      </c>
      <c r="CH141" s="101"/>
      <c r="CJ141" s="136">
        <v>40</v>
      </c>
      <c r="CK141" s="136" t="str">
        <f t="shared" si="9"/>
        <v>Iniciados</v>
      </c>
      <c r="CL141" s="136" t="str">
        <f t="shared" si="10"/>
        <v>Pares</v>
      </c>
      <c r="CM141" s="136" t="str">
        <f t="shared" si="11"/>
        <v>Femininos</v>
      </c>
      <c r="CN141" s="136" t="str">
        <f>"Jogo 9º/10º lugar"</f>
        <v>Jogo 9º/10º lugar</v>
      </c>
      <c r="CO141" s="136" t="str">
        <f>$P$70</f>
        <v>Disputa 9º/10º Jogador1</v>
      </c>
      <c r="CP141" s="136" t="str">
        <f>$P$78</f>
        <v>Disputa 9º/10º Jogador2</v>
      </c>
    </row>
    <row r="142" spans="53:94" ht="15" hidden="1" customHeight="1">
      <c r="BA142" s="88"/>
      <c r="BB142" s="298" t="str">
        <f>IF($BB$131="","",$BB$131)</f>
        <v>A Costa/M Gomes (Centro)</v>
      </c>
      <c r="BC142" s="299"/>
      <c r="BD142" s="74"/>
      <c r="BE142" s="75"/>
      <c r="BF142" s="75"/>
      <c r="BG142" s="75"/>
      <c r="BH142" s="75"/>
      <c r="BI142" s="75"/>
      <c r="BJ142" s="75"/>
      <c r="BK142" s="75"/>
      <c r="BL142" s="75"/>
      <c r="BM142" s="76"/>
      <c r="BN142" s="254"/>
      <c r="BO142" s="256"/>
      <c r="BP142" s="77"/>
      <c r="BQ142" s="77"/>
      <c r="BR142" s="77"/>
      <c r="BS142" s="78"/>
      <c r="BT142" s="75"/>
      <c r="BU142" s="75"/>
      <c r="BV142" s="75"/>
      <c r="BW142" s="75"/>
      <c r="BX142" s="254"/>
      <c r="BY142" s="76"/>
      <c r="BZ142" s="75"/>
      <c r="CA142" s="75"/>
      <c r="CB142" s="75"/>
      <c r="CC142" s="75"/>
      <c r="CD142" s="75"/>
      <c r="CE142" s="75"/>
      <c r="CF142" s="75"/>
      <c r="CG142" s="75"/>
      <c r="CH142" s="92"/>
      <c r="CJ142" s="136">
        <v>41</v>
      </c>
      <c r="CK142" s="136" t="str">
        <f t="shared" si="9"/>
        <v>Iniciados</v>
      </c>
      <c r="CL142" s="136" t="str">
        <f t="shared" si="10"/>
        <v>Pares</v>
      </c>
      <c r="CM142" s="136" t="str">
        <f t="shared" si="11"/>
        <v>Femininos</v>
      </c>
      <c r="CN142" s="136" t="str">
        <f>"Disp 13º-16º - Jogo1"</f>
        <v>Disp 13º-16º - Jogo1</v>
      </c>
      <c r="CO142" s="136" t="str">
        <f>$I$86</f>
        <v>4º  do Grupo A</v>
      </c>
      <c r="CP142" s="136" t="str">
        <f>$I$90</f>
        <v>4º  do Grupo B</v>
      </c>
    </row>
    <row r="143" spans="53:94" ht="15" hidden="1" customHeight="1">
      <c r="BA143" s="88"/>
      <c r="BB143" s="300"/>
      <c r="BC143" s="301"/>
      <c r="BD143" s="79"/>
      <c r="BE143" s="80"/>
      <c r="BF143" s="80"/>
      <c r="BG143" s="80"/>
      <c r="BH143" s="80"/>
      <c r="BI143" s="80"/>
      <c r="BJ143" s="80"/>
      <c r="BK143" s="80"/>
      <c r="BL143" s="80"/>
      <c r="BM143" s="81"/>
      <c r="BN143" s="255"/>
      <c r="BO143" s="257"/>
      <c r="BP143" s="82"/>
      <c r="BQ143" s="82"/>
      <c r="BR143" s="82"/>
      <c r="BS143" s="83"/>
      <c r="BT143" s="80"/>
      <c r="BU143" s="80"/>
      <c r="BV143" s="80"/>
      <c r="BW143" s="80"/>
      <c r="BX143" s="255"/>
      <c r="BY143" s="81"/>
      <c r="BZ143" s="80"/>
      <c r="CA143" s="80"/>
      <c r="CB143" s="80"/>
      <c r="CC143" s="80"/>
      <c r="CD143" s="80"/>
      <c r="CE143" s="80"/>
      <c r="CF143" s="80"/>
      <c r="CG143" s="80"/>
      <c r="CH143" s="92"/>
      <c r="CJ143" s="136">
        <v>42</v>
      </c>
      <c r="CK143" s="136" t="str">
        <f t="shared" si="9"/>
        <v>Iniciados</v>
      </c>
      <c r="CL143" s="136" t="str">
        <f t="shared" si="10"/>
        <v>Pares</v>
      </c>
      <c r="CM143" s="136" t="str">
        <f t="shared" si="11"/>
        <v>Femininos</v>
      </c>
      <c r="CN143" s="136" t="str">
        <f>"Disp 13º-16º - Jogo2"</f>
        <v>Disp 13º-16º - Jogo2</v>
      </c>
      <c r="CO143" s="136" t="str">
        <f>$I$94</f>
        <v>4º  do Grupo C</v>
      </c>
      <c r="CP143" s="136" t="str">
        <f>$I$98</f>
        <v>4º  do Grupo D</v>
      </c>
    </row>
    <row r="144" spans="53:94" ht="15" hidden="1" customHeight="1">
      <c r="BA144" s="88"/>
      <c r="BB144" s="298" t="str">
        <f>IF($BB$133="","",$BB$133)</f>
        <v>A Pereira/B Pereira (Norte)</v>
      </c>
      <c r="BC144" s="299"/>
      <c r="BD144" s="74"/>
      <c r="BE144" s="75"/>
      <c r="BF144" s="75"/>
      <c r="BG144" s="75"/>
      <c r="BH144" s="75"/>
      <c r="BI144" s="75"/>
      <c r="BJ144" s="75"/>
      <c r="BK144" s="75"/>
      <c r="BL144" s="75"/>
      <c r="BM144" s="76"/>
      <c r="BN144" s="254"/>
      <c r="BO144" s="256"/>
      <c r="BP144" s="77"/>
      <c r="BQ144" s="77"/>
      <c r="BR144" s="77"/>
      <c r="BS144" s="78"/>
      <c r="BT144" s="75"/>
      <c r="BU144" s="75"/>
      <c r="BV144" s="75"/>
      <c r="BW144" s="75"/>
      <c r="BX144" s="254"/>
      <c r="BY144" s="76"/>
      <c r="BZ144" s="75"/>
      <c r="CA144" s="75"/>
      <c r="CB144" s="75"/>
      <c r="CC144" s="75"/>
      <c r="CD144" s="75"/>
      <c r="CE144" s="75"/>
      <c r="CF144" s="75"/>
      <c r="CG144" s="75"/>
      <c r="CH144" s="98" t="s">
        <v>2</v>
      </c>
      <c r="CJ144" s="136">
        <v>43</v>
      </c>
      <c r="CK144" s="136" t="str">
        <f t="shared" si="9"/>
        <v>Iniciados</v>
      </c>
      <c r="CL144" s="136" t="str">
        <f t="shared" si="10"/>
        <v>Pares</v>
      </c>
      <c r="CM144" s="136" t="str">
        <f t="shared" si="11"/>
        <v>Femininos</v>
      </c>
      <c r="CN144" s="136" t="str">
        <f>"Jogo 15º/16º lugar"</f>
        <v>Jogo 15º/16º lugar</v>
      </c>
      <c r="CO144" s="136" t="str">
        <f>$P$90</f>
        <v>Disputa 15º/16º  Jogador1</v>
      </c>
      <c r="CP144" s="136" t="str">
        <f>$P$94</f>
        <v>Disputa 15º/16º  Jogador2</v>
      </c>
    </row>
    <row r="145" spans="53:94" ht="15" hidden="1" customHeight="1">
      <c r="BA145" s="88"/>
      <c r="BB145" s="300"/>
      <c r="BC145" s="301"/>
      <c r="BD145" s="79"/>
      <c r="BE145" s="80"/>
      <c r="BF145" s="80"/>
      <c r="BG145" s="80"/>
      <c r="BH145" s="80"/>
      <c r="BI145" s="80"/>
      <c r="BJ145" s="80"/>
      <c r="BK145" s="80"/>
      <c r="BL145" s="80"/>
      <c r="BM145" s="81"/>
      <c r="BN145" s="255"/>
      <c r="BO145" s="257"/>
      <c r="BP145" s="82"/>
      <c r="BQ145" s="82"/>
      <c r="BR145" s="82"/>
      <c r="BS145" s="83"/>
      <c r="BT145" s="80"/>
      <c r="BU145" s="80"/>
      <c r="BV145" s="80"/>
      <c r="BW145" s="80"/>
      <c r="BX145" s="255"/>
      <c r="BY145" s="81"/>
      <c r="BZ145" s="80"/>
      <c r="CA145" s="80"/>
      <c r="CB145" s="80"/>
      <c r="CC145" s="80"/>
      <c r="CD145" s="80"/>
      <c r="CE145" s="80"/>
      <c r="CF145" s="80"/>
      <c r="CG145" s="80"/>
      <c r="CH145" s="92"/>
      <c r="CJ145" s="136">
        <v>44</v>
      </c>
      <c r="CK145" s="136" t="str">
        <f t="shared" si="9"/>
        <v>Iniciados</v>
      </c>
      <c r="CL145" s="136" t="str">
        <f t="shared" si="10"/>
        <v>Pares</v>
      </c>
      <c r="CM145" s="136" t="str">
        <f t="shared" si="11"/>
        <v>Femininos</v>
      </c>
      <c r="CN145" s="136" t="str">
        <f>"Jogo 13º/14º lugar"</f>
        <v>Jogo 13º/14º lugar</v>
      </c>
      <c r="CO145" s="136" t="str">
        <f>$P$88</f>
        <v>Disputa 13º/14º Jogador1</v>
      </c>
      <c r="CP145" s="136" t="str">
        <f>$P$96</f>
        <v>Disputa 13º/14º Jogador2</v>
      </c>
    </row>
    <row r="146" spans="53:94" ht="12.75" hidden="1" customHeight="1">
      <c r="BA146" s="88"/>
      <c r="BB146" s="84"/>
      <c r="BC146" s="84"/>
      <c r="BD146" s="100">
        <v>1</v>
      </c>
      <c r="BE146" s="100">
        <v>2</v>
      </c>
      <c r="BF146" s="100">
        <v>3</v>
      </c>
      <c r="BG146" s="100">
        <v>4</v>
      </c>
      <c r="BH146" s="100">
        <v>5</v>
      </c>
      <c r="BI146" s="100">
        <v>6</v>
      </c>
      <c r="BJ146" s="100">
        <v>7</v>
      </c>
      <c r="BK146" s="100">
        <v>8</v>
      </c>
      <c r="BL146" s="100">
        <v>9</v>
      </c>
      <c r="BM146" s="100">
        <v>10</v>
      </c>
      <c r="BN146" s="100">
        <v>11</v>
      </c>
      <c r="BO146" s="100">
        <v>12</v>
      </c>
      <c r="BP146" s="100">
        <v>13</v>
      </c>
      <c r="BQ146" s="100">
        <v>14</v>
      </c>
      <c r="BR146" s="100">
        <v>15</v>
      </c>
      <c r="BS146" s="100">
        <v>16</v>
      </c>
      <c r="BT146" s="100">
        <v>17</v>
      </c>
      <c r="BU146" s="100">
        <v>18</v>
      </c>
      <c r="BV146" s="100">
        <v>19</v>
      </c>
      <c r="BW146" s="100">
        <v>20</v>
      </c>
      <c r="BX146" s="100">
        <v>21</v>
      </c>
      <c r="BY146" s="100">
        <v>22</v>
      </c>
      <c r="BZ146" s="100">
        <v>23</v>
      </c>
      <c r="CA146" s="100">
        <v>24</v>
      </c>
      <c r="CB146" s="100">
        <v>25</v>
      </c>
      <c r="CC146" s="100">
        <v>26</v>
      </c>
      <c r="CD146" s="100">
        <v>27</v>
      </c>
      <c r="CE146" s="100">
        <v>28</v>
      </c>
      <c r="CF146" s="100">
        <v>29</v>
      </c>
      <c r="CG146" s="100">
        <v>30</v>
      </c>
      <c r="CH146" s="101"/>
    </row>
    <row r="147" spans="53:94" ht="15" hidden="1" customHeight="1">
      <c r="BA147" s="88"/>
      <c r="BB147" s="298" t="str">
        <f>IF($BB$131="","",$BB$131)</f>
        <v>A Costa/M Gomes (Centro)</v>
      </c>
      <c r="BC147" s="299"/>
      <c r="BD147" s="74"/>
      <c r="BE147" s="75"/>
      <c r="BF147" s="75"/>
      <c r="BG147" s="75"/>
      <c r="BH147" s="75"/>
      <c r="BI147" s="75"/>
      <c r="BJ147" s="75"/>
      <c r="BK147" s="75"/>
      <c r="BL147" s="75"/>
      <c r="BM147" s="76"/>
      <c r="BN147" s="254"/>
      <c r="BO147" s="256"/>
      <c r="BP147" s="77"/>
      <c r="BQ147" s="77"/>
      <c r="BR147" s="77"/>
      <c r="BS147" s="78"/>
      <c r="BT147" s="75"/>
      <c r="BU147" s="75"/>
      <c r="BV147" s="75"/>
      <c r="BW147" s="75"/>
      <c r="BX147" s="254"/>
      <c r="BY147" s="76"/>
      <c r="BZ147" s="75"/>
      <c r="CA147" s="75"/>
      <c r="CB147" s="75"/>
      <c r="CC147" s="75"/>
      <c r="CD147" s="75"/>
      <c r="CE147" s="75"/>
      <c r="CF147" s="75"/>
      <c r="CG147" s="75"/>
      <c r="CH147" s="92"/>
    </row>
    <row r="148" spans="53:94" ht="15" hidden="1" customHeight="1">
      <c r="BA148" s="88"/>
      <c r="BB148" s="300"/>
      <c r="BC148" s="301"/>
      <c r="BD148" s="79"/>
      <c r="BE148" s="80"/>
      <c r="BF148" s="80"/>
      <c r="BG148" s="80"/>
      <c r="BH148" s="80"/>
      <c r="BI148" s="80"/>
      <c r="BJ148" s="80"/>
      <c r="BK148" s="80"/>
      <c r="BL148" s="80"/>
      <c r="BM148" s="81"/>
      <c r="BN148" s="255"/>
      <c r="BO148" s="257"/>
      <c r="BP148" s="82"/>
      <c r="BQ148" s="82"/>
      <c r="BR148" s="82"/>
      <c r="BS148" s="83"/>
      <c r="BT148" s="80"/>
      <c r="BU148" s="80"/>
      <c r="BV148" s="80"/>
      <c r="BW148" s="80"/>
      <c r="BX148" s="255"/>
      <c r="BY148" s="81"/>
      <c r="BZ148" s="80"/>
      <c r="CA148" s="80"/>
      <c r="CB148" s="80"/>
      <c r="CC148" s="80"/>
      <c r="CD148" s="80"/>
      <c r="CE148" s="80"/>
      <c r="CF148" s="80"/>
      <c r="CG148" s="80"/>
      <c r="CH148" s="92"/>
    </row>
    <row r="149" spans="53:94" ht="15" hidden="1" customHeight="1">
      <c r="BA149" s="88"/>
      <c r="BB149" s="298" t="str">
        <f>IF($BB$133="","",$BB$133)</f>
        <v>A Pereira/B Pereira (Norte)</v>
      </c>
      <c r="BC149" s="299"/>
      <c r="BD149" s="74"/>
      <c r="BE149" s="75"/>
      <c r="BF149" s="75"/>
      <c r="BG149" s="75"/>
      <c r="BH149" s="75"/>
      <c r="BI149" s="75"/>
      <c r="BJ149" s="75"/>
      <c r="BK149" s="75"/>
      <c r="BL149" s="75"/>
      <c r="BM149" s="76"/>
      <c r="BN149" s="254"/>
      <c r="BO149" s="256"/>
      <c r="BP149" s="77"/>
      <c r="BQ149" s="77"/>
      <c r="BR149" s="77"/>
      <c r="BS149" s="78"/>
      <c r="BT149" s="75"/>
      <c r="BU149" s="75"/>
      <c r="BV149" s="75"/>
      <c r="BW149" s="75"/>
      <c r="BX149" s="254"/>
      <c r="BY149" s="76"/>
      <c r="BZ149" s="75"/>
      <c r="CA149" s="75"/>
      <c r="CB149" s="75"/>
      <c r="CC149" s="75"/>
      <c r="CD149" s="75"/>
      <c r="CE149" s="75"/>
      <c r="CF149" s="75"/>
      <c r="CG149" s="75"/>
      <c r="CH149" s="98" t="s">
        <v>3</v>
      </c>
    </row>
    <row r="150" spans="53:94" ht="15" hidden="1" customHeight="1">
      <c r="BA150" s="88"/>
      <c r="BB150" s="300"/>
      <c r="BC150" s="301"/>
      <c r="BD150" s="79"/>
      <c r="BE150" s="80"/>
      <c r="BF150" s="80"/>
      <c r="BG150" s="80"/>
      <c r="BH150" s="80"/>
      <c r="BI150" s="80"/>
      <c r="BJ150" s="80"/>
      <c r="BK150" s="80"/>
      <c r="BL150" s="80"/>
      <c r="BM150" s="81"/>
      <c r="BN150" s="255"/>
      <c r="BO150" s="257"/>
      <c r="BP150" s="82"/>
      <c r="BQ150" s="82"/>
      <c r="BR150" s="82"/>
      <c r="BS150" s="83"/>
      <c r="BT150" s="80"/>
      <c r="BU150" s="80"/>
      <c r="BV150" s="80"/>
      <c r="BW150" s="80"/>
      <c r="BX150" s="255"/>
      <c r="BY150" s="81"/>
      <c r="BZ150" s="80"/>
      <c r="CA150" s="80"/>
      <c r="CB150" s="80"/>
      <c r="CC150" s="80"/>
      <c r="CD150" s="80"/>
      <c r="CE150" s="80"/>
      <c r="CF150" s="80"/>
      <c r="CG150" s="80"/>
      <c r="CH150" s="92"/>
    </row>
    <row r="151" spans="53:94" ht="65.25" hidden="1" customHeight="1">
      <c r="BA151" s="102"/>
      <c r="BB151" s="103" t="s">
        <v>36</v>
      </c>
      <c r="BC151" s="104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1"/>
    </row>
    <row r="152" spans="53:94" ht="26.25" hidden="1" customHeight="1">
      <c r="BA152" s="296"/>
      <c r="BB152" s="296"/>
      <c r="BC152" s="296"/>
      <c r="BD152" s="296"/>
      <c r="BE152" s="296"/>
      <c r="BF152" s="296"/>
      <c r="BG152" s="296"/>
      <c r="BH152" s="296"/>
      <c r="BI152" s="296"/>
      <c r="BJ152" s="296"/>
      <c r="BK152" s="296"/>
      <c r="BL152" s="296"/>
      <c r="BM152" s="296"/>
      <c r="BN152" s="296"/>
      <c r="BO152" s="296"/>
      <c r="BP152" s="296"/>
      <c r="BQ152" s="296"/>
      <c r="BR152" s="296"/>
      <c r="BS152" s="296"/>
      <c r="BT152" s="296"/>
      <c r="BU152" s="296"/>
      <c r="BV152" s="296"/>
      <c r="BW152" s="296"/>
      <c r="BX152" s="296"/>
      <c r="BY152" s="296"/>
      <c r="BZ152" s="296"/>
      <c r="CA152" s="296"/>
      <c r="CB152" s="296"/>
      <c r="CC152" s="296"/>
      <c r="CD152" s="296"/>
      <c r="CE152" s="296"/>
      <c r="CF152" s="296"/>
      <c r="CG152" s="296"/>
      <c r="CH152" s="296"/>
    </row>
    <row r="153" spans="53:94" ht="22.5" hidden="1" customHeight="1"/>
    <row r="154" spans="53:94" ht="22.5" hidden="1" customHeight="1"/>
    <row r="155" spans="53:94" ht="22.5" hidden="1" customHeight="1"/>
  </sheetData>
  <sheetProtection password="E82C" sheet="1" objects="1" scenarios="1" formatCells="0" formatColumns="0" formatRows="0" autoFilter="0"/>
  <autoFilter ref="AN6:AZ54">
    <filterColumn colId="2" showButton="0"/>
    <filterColumn colId="3" showButton="0"/>
    <filterColumn colId="4" showButton="0"/>
  </autoFilter>
  <mergeCells count="326">
    <mergeCell ref="BA152:CH152"/>
    <mergeCell ref="BB137:BC138"/>
    <mergeCell ref="BB139:BC140"/>
    <mergeCell ref="BB142:BC143"/>
    <mergeCell ref="BB144:BC145"/>
    <mergeCell ref="BB147:BC148"/>
    <mergeCell ref="BB149:BC150"/>
    <mergeCell ref="BB133:BC134"/>
    <mergeCell ref="BD133:BF134"/>
    <mergeCell ref="BG133:BI134"/>
    <mergeCell ref="BJ133:BL134"/>
    <mergeCell ref="BO133:BQ134"/>
    <mergeCell ref="BC135:BL135"/>
    <mergeCell ref="BM135:BQ135"/>
    <mergeCell ref="BA126:CH126"/>
    <mergeCell ref="BB127:BN127"/>
    <mergeCell ref="BB130:BC130"/>
    <mergeCell ref="BB131:BC132"/>
    <mergeCell ref="BD131:BF132"/>
    <mergeCell ref="BG131:BI132"/>
    <mergeCell ref="BJ131:BL132"/>
    <mergeCell ref="BO131:BQ132"/>
    <mergeCell ref="BB111:BC112"/>
    <mergeCell ref="BB113:BC114"/>
    <mergeCell ref="BB116:BC117"/>
    <mergeCell ref="BB118:BC119"/>
    <mergeCell ref="BB121:BC122"/>
    <mergeCell ref="BB123:BC124"/>
    <mergeCell ref="BB107:BC108"/>
    <mergeCell ref="BD107:BF108"/>
    <mergeCell ref="BG107:BI108"/>
    <mergeCell ref="BJ107:BL108"/>
    <mergeCell ref="BO107:BQ108"/>
    <mergeCell ref="BC109:BL109"/>
    <mergeCell ref="BM109:BQ109"/>
    <mergeCell ref="BB104:BC104"/>
    <mergeCell ref="BB105:BC106"/>
    <mergeCell ref="BD105:BF106"/>
    <mergeCell ref="BG105:BI106"/>
    <mergeCell ref="BJ105:BL106"/>
    <mergeCell ref="BO105:BQ106"/>
    <mergeCell ref="I94:K94"/>
    <mergeCell ref="P94:R94"/>
    <mergeCell ref="P96:S96"/>
    <mergeCell ref="I98:K98"/>
    <mergeCell ref="BA100:CH100"/>
    <mergeCell ref="BB101:BN101"/>
    <mergeCell ref="I90:K90"/>
    <mergeCell ref="P90:R90"/>
    <mergeCell ref="AP90:AS90"/>
    <mergeCell ref="P92:U92"/>
    <mergeCell ref="X92:AC92"/>
    <mergeCell ref="Y93:AC93"/>
    <mergeCell ref="Y87:AC87"/>
    <mergeCell ref="AP87:AS87"/>
    <mergeCell ref="P88:S88"/>
    <mergeCell ref="Y88:AC88"/>
    <mergeCell ref="AP88:AS88"/>
    <mergeCell ref="Y89:AC89"/>
    <mergeCell ref="AP89:AS89"/>
    <mergeCell ref="I84:W85"/>
    <mergeCell ref="Y84:AD85"/>
    <mergeCell ref="AP84:AS84"/>
    <mergeCell ref="AP85:AS85"/>
    <mergeCell ref="I86:K86"/>
    <mergeCell ref="Y86:AC86"/>
    <mergeCell ref="AP86:AS86"/>
    <mergeCell ref="Y75:AC75"/>
    <mergeCell ref="I76:K76"/>
    <mergeCell ref="P76:R76"/>
    <mergeCell ref="P78:S78"/>
    <mergeCell ref="I80:K80"/>
    <mergeCell ref="AP83:AS83"/>
    <mergeCell ref="Y71:AC71"/>
    <mergeCell ref="AP71:AS71"/>
    <mergeCell ref="I72:K72"/>
    <mergeCell ref="P72:R72"/>
    <mergeCell ref="AP72:AS72"/>
    <mergeCell ref="P74:U74"/>
    <mergeCell ref="X74:AC74"/>
    <mergeCell ref="I68:K68"/>
    <mergeCell ref="Y68:AC68"/>
    <mergeCell ref="AP68:AS68"/>
    <mergeCell ref="Y69:AC69"/>
    <mergeCell ref="AP69:AS69"/>
    <mergeCell ref="P70:S70"/>
    <mergeCell ref="Y70:AC70"/>
    <mergeCell ref="AP70:AS70"/>
    <mergeCell ref="I62:K62"/>
    <mergeCell ref="AP65:AS65"/>
    <mergeCell ref="I66:W67"/>
    <mergeCell ref="Y66:AD67"/>
    <mergeCell ref="AP66:AS66"/>
    <mergeCell ref="AP67:AS67"/>
    <mergeCell ref="P56:U56"/>
    <mergeCell ref="X56:AC56"/>
    <mergeCell ref="Y57:AC57"/>
    <mergeCell ref="I58:K58"/>
    <mergeCell ref="P58:R58"/>
    <mergeCell ref="P60:S60"/>
    <mergeCell ref="P52:S52"/>
    <mergeCell ref="Y52:AC52"/>
    <mergeCell ref="AP52:AS52"/>
    <mergeCell ref="Y53:AC53"/>
    <mergeCell ref="AP53:AS53"/>
    <mergeCell ref="I54:K54"/>
    <mergeCell ref="P54:R54"/>
    <mergeCell ref="AP54:AS54"/>
    <mergeCell ref="B49:D49"/>
    <mergeCell ref="AP49:AS49"/>
    <mergeCell ref="I50:K50"/>
    <mergeCell ref="Y50:AC50"/>
    <mergeCell ref="AP50:AS50"/>
    <mergeCell ref="Y51:AC51"/>
    <mergeCell ref="AP51:AS51"/>
    <mergeCell ref="AP45:AS45"/>
    <mergeCell ref="AP46:AS46"/>
    <mergeCell ref="AP47:AS47"/>
    <mergeCell ref="I48:W49"/>
    <mergeCell ref="Y48:AD49"/>
    <mergeCell ref="AP48:AS48"/>
    <mergeCell ref="C42:D42"/>
    <mergeCell ref="AP42:AS42"/>
    <mergeCell ref="I43:K43"/>
    <mergeCell ref="AP43:AS43"/>
    <mergeCell ref="C44:D44"/>
    <mergeCell ref="AP44:AS44"/>
    <mergeCell ref="I39:K39"/>
    <mergeCell ref="P39:R39"/>
    <mergeCell ref="AP39:AS39"/>
    <mergeCell ref="C40:D40"/>
    <mergeCell ref="AP40:AS40"/>
    <mergeCell ref="P41:S41"/>
    <mergeCell ref="AP41:AS41"/>
    <mergeCell ref="C36:D36"/>
    <mergeCell ref="AP36:AS36"/>
    <mergeCell ref="P37:U37"/>
    <mergeCell ref="X37:AC37"/>
    <mergeCell ref="AP37:AS37"/>
    <mergeCell ref="C38:D38"/>
    <mergeCell ref="Y38:AC38"/>
    <mergeCell ref="AP38:AS38"/>
    <mergeCell ref="C34:D34"/>
    <mergeCell ref="Y34:AC34"/>
    <mergeCell ref="AP34:AS34"/>
    <mergeCell ref="I35:K35"/>
    <mergeCell ref="P35:R35"/>
    <mergeCell ref="AP35:AS35"/>
    <mergeCell ref="AP31:AS31"/>
    <mergeCell ref="C32:D32"/>
    <mergeCell ref="Y32:AC32"/>
    <mergeCell ref="AP32:AS32"/>
    <mergeCell ref="P33:S33"/>
    <mergeCell ref="Y33:AC33"/>
    <mergeCell ref="AP33:AS33"/>
    <mergeCell ref="AP27:AS27"/>
    <mergeCell ref="C28:P28"/>
    <mergeCell ref="AP28:AS28"/>
    <mergeCell ref="Y29:AD30"/>
    <mergeCell ref="AG29:AJ31"/>
    <mergeCell ref="AP29:AS29"/>
    <mergeCell ref="C30:D30"/>
    <mergeCell ref="AP30:AS30"/>
    <mergeCell ref="I31:K31"/>
    <mergeCell ref="Y31:AC31"/>
    <mergeCell ref="Y26:Z26"/>
    <mergeCell ref="AG26:AH26"/>
    <mergeCell ref="AI26:AJ26"/>
    <mergeCell ref="AP26:AS26"/>
    <mergeCell ref="D27:E27"/>
    <mergeCell ref="K27:L27"/>
    <mergeCell ref="R27:S27"/>
    <mergeCell ref="Y27:Z27"/>
    <mergeCell ref="AG27:AH28"/>
    <mergeCell ref="AI27:AJ28"/>
    <mergeCell ref="C26:C27"/>
    <mergeCell ref="D26:E26"/>
    <mergeCell ref="J26:J27"/>
    <mergeCell ref="K26:L26"/>
    <mergeCell ref="Q26:Q27"/>
    <mergeCell ref="R26:S26"/>
    <mergeCell ref="X24:X25"/>
    <mergeCell ref="Y24:Z24"/>
    <mergeCell ref="AE24:AE27"/>
    <mergeCell ref="AP24:AS24"/>
    <mergeCell ref="D25:E25"/>
    <mergeCell ref="K25:L25"/>
    <mergeCell ref="R25:S25"/>
    <mergeCell ref="Y25:Z25"/>
    <mergeCell ref="AP25:AS25"/>
    <mergeCell ref="X26:X27"/>
    <mergeCell ref="C24:C25"/>
    <mergeCell ref="D24:E24"/>
    <mergeCell ref="J24:J25"/>
    <mergeCell ref="K24:L24"/>
    <mergeCell ref="Q24:Q25"/>
    <mergeCell ref="R24:S24"/>
    <mergeCell ref="X22:X23"/>
    <mergeCell ref="Y22:Z22"/>
    <mergeCell ref="AP22:AS22"/>
    <mergeCell ref="D23:E23"/>
    <mergeCell ref="K23:L23"/>
    <mergeCell ref="R23:S23"/>
    <mergeCell ref="Y23:Z23"/>
    <mergeCell ref="AP23:AS23"/>
    <mergeCell ref="C22:C23"/>
    <mergeCell ref="D22:E22"/>
    <mergeCell ref="J22:J23"/>
    <mergeCell ref="K22:L22"/>
    <mergeCell ref="Q22:Q23"/>
    <mergeCell ref="R22:S22"/>
    <mergeCell ref="X20:X21"/>
    <mergeCell ref="Y20:Z20"/>
    <mergeCell ref="AE20:AE23"/>
    <mergeCell ref="AK20:AL20"/>
    <mergeCell ref="AP20:AS20"/>
    <mergeCell ref="D21:E21"/>
    <mergeCell ref="K21:L21"/>
    <mergeCell ref="R21:S21"/>
    <mergeCell ref="Y21:Z21"/>
    <mergeCell ref="AP21:AS21"/>
    <mergeCell ref="C20:C21"/>
    <mergeCell ref="D20:E20"/>
    <mergeCell ref="J20:J21"/>
    <mergeCell ref="K20:L20"/>
    <mergeCell ref="Q20:Q21"/>
    <mergeCell ref="R20:S20"/>
    <mergeCell ref="Y18:Z18"/>
    <mergeCell ref="AP18:AS18"/>
    <mergeCell ref="D19:E19"/>
    <mergeCell ref="K19:L19"/>
    <mergeCell ref="R19:S19"/>
    <mergeCell ref="Y19:Z19"/>
    <mergeCell ref="AP19:AS19"/>
    <mergeCell ref="C18:C19"/>
    <mergeCell ref="D18:E18"/>
    <mergeCell ref="J18:J19"/>
    <mergeCell ref="K18:L18"/>
    <mergeCell ref="Q18:Q19"/>
    <mergeCell ref="R18:S18"/>
    <mergeCell ref="X16:X17"/>
    <mergeCell ref="Y16:Z16"/>
    <mergeCell ref="AE16:AE19"/>
    <mergeCell ref="AP16:AS16"/>
    <mergeCell ref="D17:E17"/>
    <mergeCell ref="K17:L17"/>
    <mergeCell ref="R17:S17"/>
    <mergeCell ref="Y17:Z17"/>
    <mergeCell ref="AP17:AS17"/>
    <mergeCell ref="X18:X19"/>
    <mergeCell ref="C16:C17"/>
    <mergeCell ref="D16:E16"/>
    <mergeCell ref="J16:J17"/>
    <mergeCell ref="K16:L16"/>
    <mergeCell ref="Q16:Q17"/>
    <mergeCell ref="R16:S16"/>
    <mergeCell ref="D15:H15"/>
    <mergeCell ref="K15:O15"/>
    <mergeCell ref="R15:V15"/>
    <mergeCell ref="Y15:AC15"/>
    <mergeCell ref="AK15:AL15"/>
    <mergeCell ref="AP15:AS15"/>
    <mergeCell ref="D13:H13"/>
    <mergeCell ref="K13:O13"/>
    <mergeCell ref="R13:V13"/>
    <mergeCell ref="Y13:AC13"/>
    <mergeCell ref="AP13:AS13"/>
    <mergeCell ref="D14:H14"/>
    <mergeCell ref="K14:O14"/>
    <mergeCell ref="R14:V14"/>
    <mergeCell ref="Y14:AC14"/>
    <mergeCell ref="AP14:AS14"/>
    <mergeCell ref="C11:I11"/>
    <mergeCell ref="J11:P11"/>
    <mergeCell ref="Q11:W11"/>
    <mergeCell ref="X11:AD11"/>
    <mergeCell ref="AP11:AS11"/>
    <mergeCell ref="D12:H12"/>
    <mergeCell ref="K12:O12"/>
    <mergeCell ref="R12:V12"/>
    <mergeCell ref="Y12:AC12"/>
    <mergeCell ref="AP12:AS12"/>
    <mergeCell ref="D10:F10"/>
    <mergeCell ref="K10:M10"/>
    <mergeCell ref="R10:T10"/>
    <mergeCell ref="Y10:AA10"/>
    <mergeCell ref="AK10:AL10"/>
    <mergeCell ref="AP10:AS10"/>
    <mergeCell ref="AI8:AI9"/>
    <mergeCell ref="AJ8:AJ9"/>
    <mergeCell ref="AP8:AS8"/>
    <mergeCell ref="D9:F9"/>
    <mergeCell ref="K9:M9"/>
    <mergeCell ref="R9:T9"/>
    <mergeCell ref="Y9:AA9"/>
    <mergeCell ref="AP9:AS9"/>
    <mergeCell ref="K7:M7"/>
    <mergeCell ref="R7:T7"/>
    <mergeCell ref="Y7:AA7"/>
    <mergeCell ref="AP7:AS7"/>
    <mergeCell ref="D8:F8"/>
    <mergeCell ref="K8:M8"/>
    <mergeCell ref="R8:T8"/>
    <mergeCell ref="Y8:AA8"/>
    <mergeCell ref="AG8:AG9"/>
    <mergeCell ref="AH8:AH9"/>
    <mergeCell ref="X5:AD5"/>
    <mergeCell ref="AG5:AJ7"/>
    <mergeCell ref="AN5:AS5"/>
    <mergeCell ref="AT5:AZ5"/>
    <mergeCell ref="D6:F6"/>
    <mergeCell ref="K6:M6"/>
    <mergeCell ref="R6:T6"/>
    <mergeCell ref="Y6:AA6"/>
    <mergeCell ref="AP6:AS6"/>
    <mergeCell ref="D7:F7"/>
    <mergeCell ref="C2:F2"/>
    <mergeCell ref="H2:X2"/>
    <mergeCell ref="AN2:AZ4"/>
    <mergeCell ref="BB2:BT11"/>
    <mergeCell ref="C3:F3"/>
    <mergeCell ref="H3:O3"/>
    <mergeCell ref="Q3:X3"/>
    <mergeCell ref="C5:I5"/>
    <mergeCell ref="J5:P5"/>
    <mergeCell ref="Q5:W5"/>
  </mergeCells>
  <printOptions horizontalCentered="1" verticalCentered="1"/>
  <pageMargins left="0.19685039370078741" right="0.19685039370078741" top="0" bottom="0" header="0.15748031496062992" footer="0.15748031496062992"/>
  <pageSetup paperSize="9" scale="80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CP282"/>
  <sheetViews>
    <sheetView showGridLines="0" tabSelected="1" zoomScale="80" zoomScaleNormal="80" workbookViewId="0">
      <selection activeCell="CF11" sqref="CF11"/>
    </sheetView>
  </sheetViews>
  <sheetFormatPr defaultRowHeight="12.75"/>
  <cols>
    <col min="1" max="1" width="1.42578125" style="1" customWidth="1"/>
    <col min="2" max="2" width="2.140625" style="1" customWidth="1"/>
    <col min="3" max="3" width="3.28515625" style="34" customWidth="1"/>
    <col min="4" max="4" width="24.140625" style="1" customWidth="1"/>
    <col min="5" max="5" width="2.85546875" style="1" customWidth="1"/>
    <col min="6" max="9" width="3.28515625" style="1" customWidth="1"/>
    <col min="10" max="10" width="3.28515625" style="34" customWidth="1"/>
    <col min="11" max="11" width="24.140625" style="1" customWidth="1"/>
    <col min="12" max="12" width="2.85546875" style="1" customWidth="1"/>
    <col min="13" max="13" width="3.42578125" style="1" customWidth="1"/>
    <col min="14" max="16" width="3.28515625" style="1" customWidth="1"/>
    <col min="17" max="17" width="3.28515625" style="34" customWidth="1"/>
    <col min="18" max="18" width="24.140625" style="1" customWidth="1"/>
    <col min="19" max="19" width="2.85546875" style="1" customWidth="1"/>
    <col min="20" max="23" width="3.28515625" style="1" customWidth="1"/>
    <col min="24" max="24" width="3.28515625" style="34" customWidth="1"/>
    <col min="25" max="25" width="24.140625" style="1" customWidth="1"/>
    <col min="26" max="26" width="1.85546875" style="1" customWidth="1"/>
    <col min="27" max="29" width="3.28515625" style="1" customWidth="1"/>
    <col min="30" max="30" width="4" style="1" customWidth="1"/>
    <col min="31" max="31" width="6.140625" style="1" customWidth="1"/>
    <col min="32" max="32" width="5" style="1" hidden="1" customWidth="1"/>
    <col min="33" max="36" width="5.85546875" style="1" hidden="1" customWidth="1"/>
    <col min="37" max="38" width="6.85546875" style="1" hidden="1" customWidth="1"/>
    <col min="39" max="39" width="6.7109375" style="1" hidden="1" customWidth="1"/>
    <col min="40" max="41" width="9.140625" style="1" hidden="1" customWidth="1"/>
    <col min="42" max="45" width="3.28515625" style="1" hidden="1" customWidth="1"/>
    <col min="46" max="46" width="11" style="1" hidden="1" customWidth="1"/>
    <col min="47" max="48" width="9.140625" style="1" hidden="1" customWidth="1"/>
    <col min="49" max="49" width="14" style="1" hidden="1" customWidth="1"/>
    <col min="50" max="51" width="9.140625" style="1" hidden="1" customWidth="1"/>
    <col min="52" max="52" width="13.85546875" style="1" hidden="1" customWidth="1"/>
    <col min="53" max="53" width="2.85546875" style="1" hidden="1" customWidth="1"/>
    <col min="54" max="54" width="34.7109375" style="1" hidden="1" customWidth="1"/>
    <col min="55" max="55" width="8.140625" style="1" hidden="1" customWidth="1"/>
    <col min="56" max="74" width="3.28515625" style="1" hidden="1" customWidth="1"/>
    <col min="75" max="85" width="3.28515625" style="1" customWidth="1"/>
    <col min="86" max="86" width="2.85546875" style="1" customWidth="1"/>
    <col min="87" max="87" width="9.140625" style="1"/>
    <col min="88" max="88" width="7.5703125" style="1" customWidth="1"/>
    <col min="89" max="91" width="9.140625" style="1"/>
    <col min="92" max="92" width="22" style="1" customWidth="1"/>
    <col min="93" max="94" width="27.28515625" style="1" customWidth="1"/>
    <col min="95" max="16384" width="9.140625" style="1"/>
  </cols>
  <sheetData>
    <row r="1" spans="2:72" ht="9" customHeight="1"/>
    <row r="2" spans="2:72" ht="28.5" customHeight="1">
      <c r="B2" s="125"/>
      <c r="C2" s="443" t="s">
        <v>239</v>
      </c>
      <c r="D2" s="443"/>
      <c r="E2" s="443"/>
      <c r="F2" s="443"/>
      <c r="G2" s="110"/>
      <c r="H2" s="444" t="s">
        <v>241</v>
      </c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T2" s="444"/>
      <c r="U2" s="444"/>
      <c r="V2" s="444"/>
      <c r="W2" s="444"/>
      <c r="X2" s="444"/>
      <c r="Y2" s="110"/>
      <c r="Z2" s="110"/>
      <c r="AA2" s="110"/>
      <c r="AB2" s="110"/>
      <c r="AC2" s="110"/>
      <c r="AD2" s="110" t="s">
        <v>18</v>
      </c>
      <c r="AE2" s="3"/>
      <c r="AN2" s="445" t="s">
        <v>61</v>
      </c>
      <c r="AO2" s="445"/>
      <c r="AP2" s="445"/>
      <c r="AQ2" s="445"/>
      <c r="AR2" s="445"/>
      <c r="AS2" s="445"/>
      <c r="AT2" s="445"/>
      <c r="AU2" s="445"/>
      <c r="AV2" s="445"/>
      <c r="AW2" s="445"/>
      <c r="AX2" s="445"/>
      <c r="AY2" s="445"/>
      <c r="AZ2" s="445"/>
      <c r="BB2" s="297"/>
      <c r="BC2" s="297"/>
      <c r="BD2" s="297"/>
      <c r="BE2" s="297"/>
      <c r="BF2" s="297"/>
      <c r="BG2" s="297"/>
      <c r="BH2" s="297"/>
      <c r="BI2" s="297"/>
      <c r="BJ2" s="297"/>
      <c r="BK2" s="297"/>
      <c r="BL2" s="297"/>
      <c r="BM2" s="297"/>
      <c r="BN2" s="297"/>
      <c r="BO2" s="297"/>
      <c r="BP2" s="297"/>
      <c r="BQ2" s="297"/>
      <c r="BR2" s="297"/>
      <c r="BS2" s="297"/>
      <c r="BT2" s="297"/>
    </row>
    <row r="3" spans="2:72" ht="20.25" customHeight="1">
      <c r="B3" s="126"/>
      <c r="C3" s="446" t="s">
        <v>240</v>
      </c>
      <c r="D3" s="446"/>
      <c r="E3" s="446"/>
      <c r="F3" s="446"/>
      <c r="G3" s="111"/>
      <c r="H3" s="447" t="s">
        <v>261</v>
      </c>
      <c r="I3" s="447"/>
      <c r="J3" s="447"/>
      <c r="K3" s="447"/>
      <c r="L3" s="447"/>
      <c r="M3" s="447"/>
      <c r="N3" s="447"/>
      <c r="O3" s="447"/>
      <c r="P3" s="112" t="s">
        <v>32</v>
      </c>
      <c r="Q3" s="448" t="s">
        <v>262</v>
      </c>
      <c r="R3" s="448"/>
      <c r="S3" s="448"/>
      <c r="T3" s="448"/>
      <c r="U3" s="448"/>
      <c r="V3" s="448"/>
      <c r="W3" s="448"/>
      <c r="X3" s="448"/>
      <c r="Y3" s="111"/>
      <c r="Z3" s="111"/>
      <c r="AA3" s="111"/>
      <c r="AB3" s="111"/>
      <c r="AC3" s="111"/>
      <c r="AD3" s="111"/>
      <c r="AE3" s="113"/>
      <c r="AN3" s="445"/>
      <c r="AO3" s="445"/>
      <c r="AP3" s="445"/>
      <c r="AQ3" s="445"/>
      <c r="AR3" s="445"/>
      <c r="AS3" s="445"/>
      <c r="AT3" s="445"/>
      <c r="AU3" s="445"/>
      <c r="AV3" s="445"/>
      <c r="AW3" s="445"/>
      <c r="AX3" s="445"/>
      <c r="AY3" s="445"/>
      <c r="AZ3" s="445"/>
      <c r="BB3" s="297"/>
      <c r="BC3" s="297"/>
      <c r="BD3" s="297"/>
      <c r="BE3" s="297"/>
      <c r="BF3" s="297"/>
      <c r="BG3" s="297"/>
      <c r="BH3" s="297"/>
      <c r="BI3" s="297"/>
      <c r="BJ3" s="297"/>
      <c r="BK3" s="297"/>
      <c r="BL3" s="297"/>
      <c r="BM3" s="297"/>
      <c r="BN3" s="297"/>
      <c r="BO3" s="297"/>
      <c r="BP3" s="297"/>
      <c r="BQ3" s="297"/>
      <c r="BR3" s="297"/>
      <c r="BS3" s="297"/>
      <c r="BT3" s="297"/>
    </row>
    <row r="4" spans="2:72" ht="13.5" customHeight="1" thickBot="1">
      <c r="B4" s="126"/>
      <c r="C4" s="115"/>
      <c r="D4" s="114"/>
      <c r="E4" s="114"/>
      <c r="F4" s="114"/>
      <c r="G4" s="114"/>
      <c r="H4" s="114"/>
      <c r="I4" s="114"/>
      <c r="J4" s="115"/>
      <c r="K4" s="114"/>
      <c r="L4" s="114"/>
      <c r="M4" s="114"/>
      <c r="N4" s="114"/>
      <c r="O4" s="114"/>
      <c r="P4" s="114" t="s">
        <v>20</v>
      </c>
      <c r="Q4" s="115"/>
      <c r="R4" s="114"/>
      <c r="S4" s="114"/>
      <c r="T4" s="114"/>
      <c r="U4" s="114"/>
      <c r="V4" s="114"/>
      <c r="W4" s="114" t="s">
        <v>19</v>
      </c>
      <c r="X4" s="115"/>
      <c r="Y4" s="114"/>
      <c r="Z4" s="114"/>
      <c r="AA4" s="114"/>
      <c r="AB4" s="114"/>
      <c r="AC4" s="114"/>
      <c r="AD4" s="114"/>
      <c r="AE4" s="116"/>
      <c r="AF4" s="106"/>
      <c r="AN4" s="445"/>
      <c r="AO4" s="445"/>
      <c r="AP4" s="445"/>
      <c r="AQ4" s="445"/>
      <c r="AR4" s="445"/>
      <c r="AS4" s="445"/>
      <c r="AT4" s="445"/>
      <c r="AU4" s="445"/>
      <c r="AV4" s="445"/>
      <c r="AW4" s="445"/>
      <c r="AX4" s="445"/>
      <c r="AY4" s="445"/>
      <c r="AZ4" s="445"/>
      <c r="BB4" s="297"/>
      <c r="BC4" s="297"/>
      <c r="BD4" s="297"/>
      <c r="BE4" s="297"/>
      <c r="BF4" s="297"/>
      <c r="BG4" s="297"/>
      <c r="BH4" s="297"/>
      <c r="BI4" s="297"/>
      <c r="BJ4" s="297"/>
      <c r="BK4" s="297"/>
      <c r="BL4" s="297"/>
      <c r="BM4" s="297"/>
      <c r="BN4" s="297"/>
      <c r="BO4" s="297"/>
      <c r="BP4" s="297"/>
      <c r="BQ4" s="297"/>
      <c r="BR4" s="297"/>
      <c r="BS4" s="297"/>
      <c r="BT4" s="297"/>
    </row>
    <row r="5" spans="2:72" ht="28.5" customHeight="1" thickBot="1">
      <c r="B5" s="126"/>
      <c r="C5" s="449" t="s">
        <v>7</v>
      </c>
      <c r="D5" s="450"/>
      <c r="E5" s="450"/>
      <c r="F5" s="450"/>
      <c r="G5" s="450"/>
      <c r="H5" s="450"/>
      <c r="I5" s="451"/>
      <c r="J5" s="449" t="s">
        <v>8</v>
      </c>
      <c r="K5" s="450"/>
      <c r="L5" s="450"/>
      <c r="M5" s="450"/>
      <c r="N5" s="450"/>
      <c r="O5" s="450"/>
      <c r="P5" s="451"/>
      <c r="Q5" s="449" t="s">
        <v>9</v>
      </c>
      <c r="R5" s="450"/>
      <c r="S5" s="450"/>
      <c r="T5" s="450"/>
      <c r="U5" s="450"/>
      <c r="V5" s="450"/>
      <c r="W5" s="451"/>
      <c r="X5" s="449" t="s">
        <v>10</v>
      </c>
      <c r="Y5" s="450"/>
      <c r="Z5" s="450"/>
      <c r="AA5" s="450"/>
      <c r="AB5" s="450"/>
      <c r="AC5" s="450"/>
      <c r="AD5" s="451"/>
      <c r="AE5" s="117"/>
      <c r="AF5" s="107"/>
      <c r="AG5" s="452" t="s">
        <v>48</v>
      </c>
      <c r="AH5" s="452"/>
      <c r="AI5" s="452"/>
      <c r="AJ5" s="452"/>
      <c r="AN5" s="454" t="s">
        <v>53</v>
      </c>
      <c r="AO5" s="454"/>
      <c r="AP5" s="454"/>
      <c r="AQ5" s="454"/>
      <c r="AR5" s="454"/>
      <c r="AS5" s="455"/>
      <c r="AT5" s="456" t="s">
        <v>52</v>
      </c>
      <c r="AU5" s="457"/>
      <c r="AV5" s="457"/>
      <c r="AW5" s="457"/>
      <c r="AX5" s="457"/>
      <c r="AY5" s="457"/>
      <c r="AZ5" s="458"/>
      <c r="BB5" s="297"/>
      <c r="BC5" s="297"/>
      <c r="BD5" s="297"/>
      <c r="BE5" s="297"/>
      <c r="BF5" s="297"/>
      <c r="BG5" s="297"/>
      <c r="BH5" s="297"/>
      <c r="BI5" s="297"/>
      <c r="BJ5" s="297"/>
      <c r="BK5" s="297"/>
      <c r="BL5" s="297"/>
      <c r="BM5" s="297"/>
      <c r="BN5" s="297"/>
      <c r="BO5" s="297"/>
      <c r="BP5" s="297"/>
      <c r="BQ5" s="297"/>
      <c r="BR5" s="297"/>
      <c r="BS5" s="297"/>
      <c r="BT5" s="297"/>
    </row>
    <row r="6" spans="2:72" ht="18" customHeight="1" thickBot="1">
      <c r="B6" s="126"/>
      <c r="C6" s="2"/>
      <c r="D6" s="459" t="s">
        <v>11</v>
      </c>
      <c r="E6" s="459"/>
      <c r="F6" s="459"/>
      <c r="G6" s="3"/>
      <c r="H6" s="4" t="s">
        <v>6</v>
      </c>
      <c r="I6" s="5"/>
      <c r="J6" s="2"/>
      <c r="K6" s="459" t="s">
        <v>11</v>
      </c>
      <c r="L6" s="459"/>
      <c r="M6" s="459"/>
      <c r="N6" s="3"/>
      <c r="O6" s="4" t="s">
        <v>6</v>
      </c>
      <c r="P6" s="5"/>
      <c r="Q6" s="2"/>
      <c r="R6" s="459" t="s">
        <v>11</v>
      </c>
      <c r="S6" s="459"/>
      <c r="T6" s="459"/>
      <c r="U6" s="3"/>
      <c r="V6" s="4" t="s">
        <v>6</v>
      </c>
      <c r="W6" s="5"/>
      <c r="X6" s="2"/>
      <c r="Y6" s="459" t="s">
        <v>11</v>
      </c>
      <c r="Z6" s="459"/>
      <c r="AA6" s="459"/>
      <c r="AB6" s="3"/>
      <c r="AC6" s="4" t="s">
        <v>6</v>
      </c>
      <c r="AD6" s="5"/>
      <c r="AE6" s="117"/>
      <c r="AF6" s="107"/>
      <c r="AG6" s="452"/>
      <c r="AH6" s="452"/>
      <c r="AI6" s="452"/>
      <c r="AJ6" s="452"/>
      <c r="AN6" s="241" t="s">
        <v>51</v>
      </c>
      <c r="AO6" s="242" t="s">
        <v>43</v>
      </c>
      <c r="AP6" s="460" t="s">
        <v>54</v>
      </c>
      <c r="AQ6" s="461"/>
      <c r="AR6" s="461"/>
      <c r="AS6" s="462"/>
      <c r="AT6" s="249" t="s">
        <v>62</v>
      </c>
      <c r="AU6" s="243" t="s">
        <v>55</v>
      </c>
      <c r="AV6" s="244" t="s">
        <v>56</v>
      </c>
      <c r="AW6" s="245" t="s">
        <v>57</v>
      </c>
      <c r="AX6" s="246" t="s">
        <v>58</v>
      </c>
      <c r="AY6" s="247" t="s">
        <v>59</v>
      </c>
      <c r="AZ6" s="248" t="s">
        <v>60</v>
      </c>
      <c r="BB6" s="297"/>
      <c r="BC6" s="297"/>
      <c r="BD6" s="297"/>
      <c r="BE6" s="297"/>
      <c r="BF6" s="297"/>
      <c r="BG6" s="297"/>
      <c r="BH6" s="297"/>
      <c r="BI6" s="297"/>
      <c r="BJ6" s="297"/>
      <c r="BK6" s="297"/>
      <c r="BL6" s="297"/>
      <c r="BM6" s="297"/>
      <c r="BN6" s="297"/>
      <c r="BO6" s="297"/>
      <c r="BP6" s="297"/>
      <c r="BQ6" s="297"/>
      <c r="BR6" s="297"/>
      <c r="BS6" s="297"/>
      <c r="BT6" s="297"/>
    </row>
    <row r="7" spans="2:72" ht="19.5" customHeight="1" thickBot="1">
      <c r="B7" s="126"/>
      <c r="C7" s="6"/>
      <c r="D7" s="442" t="s">
        <v>281</v>
      </c>
      <c r="E7" s="442"/>
      <c r="F7" s="442"/>
      <c r="G7" s="7" t="s">
        <v>17</v>
      </c>
      <c r="H7" s="8" t="str">
        <f>IF(COUNT(F$16,F$22,F$27)=0,"",SUM(AND(F$16&lt;&gt;"",F$17&lt;&gt;"",F$16&gt;F$17),AND(F$22&lt;&gt;"",F$23&lt;&gt;"",F$22&gt;F$23),AND(F$27&lt;&gt;"",F$26&lt;&gt;"",F$27&gt;F$26)))</f>
        <v/>
      </c>
      <c r="I7" s="9"/>
      <c r="J7" s="6"/>
      <c r="K7" s="442" t="s">
        <v>284</v>
      </c>
      <c r="L7" s="442"/>
      <c r="M7" s="442"/>
      <c r="N7" s="7" t="s">
        <v>17</v>
      </c>
      <c r="O7" s="8" t="str">
        <f>IF(COUNT(M$16,M$22,M$27)=0,"",SUM(AND(M$16&lt;&gt;"",M$17&lt;&gt;"",M$16&gt;M$17),AND(M$22&lt;&gt;"",M$23&lt;&gt;"",M$22&gt;M$23),AND(M$27&lt;&gt;"",M$26&lt;&gt;"",M$27&gt;M$26)))</f>
        <v/>
      </c>
      <c r="P7" s="9"/>
      <c r="Q7" s="6"/>
      <c r="R7" s="442" t="s">
        <v>287</v>
      </c>
      <c r="S7" s="442"/>
      <c r="T7" s="442"/>
      <c r="U7" s="7" t="s">
        <v>17</v>
      </c>
      <c r="V7" s="8" t="str">
        <f>IF(COUNT(T$16,T$22,T$27)=0,"",SUM(AND(T$16&lt;&gt;"",T$17&lt;&gt;"",T$16&gt;T$17),AND(T$22&lt;&gt;"",T$23&lt;&gt;"",T$22&gt;T$23),AND(T$27&lt;&gt;"",T$26&lt;&gt;"",T$27&gt;T$26)))</f>
        <v/>
      </c>
      <c r="W7" s="9"/>
      <c r="X7" s="6"/>
      <c r="Y7" s="442" t="s">
        <v>297</v>
      </c>
      <c r="Z7" s="442"/>
      <c r="AA7" s="442"/>
      <c r="AB7" s="7" t="s">
        <v>17</v>
      </c>
      <c r="AC7" s="8" t="str">
        <f>IF(COUNT(AA$16,AA$22,AA$27)=0,"",SUM(AND(AA$16&lt;&gt;"",AA$17&lt;&gt;"",AA$16&gt;AA$17),AND(AA$22&lt;&gt;"",AA$23&lt;&gt;"",AA$22&gt;AA$23),AND(AA$27&lt;&gt;"",AA$26&lt;&gt;"",AA$27&gt;AA$26)))</f>
        <v/>
      </c>
      <c r="AD7" s="9"/>
      <c r="AE7" s="113"/>
      <c r="AG7" s="453"/>
      <c r="AH7" s="453"/>
      <c r="AI7" s="453"/>
      <c r="AJ7" s="453"/>
      <c r="AN7" s="173">
        <f>IF($C16="","",$C16)</f>
        <v>1</v>
      </c>
      <c r="AO7" s="174" t="str">
        <f>IF($C$5="","",$C$5)</f>
        <v>Grupo A</v>
      </c>
      <c r="AP7" s="376" t="str">
        <f>IF($D$16="","",$D$16)</f>
        <v>J Eduardo/G Gomes (Lisboa)</v>
      </c>
      <c r="AQ7" s="377" t="str">
        <f t="shared" ref="AQ7:AS22" si="0">IF($C$5="","",$C$5)</f>
        <v>Grupo A</v>
      </c>
      <c r="AR7" s="377" t="str">
        <f t="shared" si="0"/>
        <v>Grupo A</v>
      </c>
      <c r="AS7" s="378" t="str">
        <f t="shared" si="0"/>
        <v>Grupo A</v>
      </c>
      <c r="AT7" s="176" t="str">
        <f>IF(COUNT($F$16:$F$17)&lt;2,"",IF($F$16&gt;$F$17,"V",IF($F$16&lt;$F$17,"D","Empate??")))</f>
        <v/>
      </c>
      <c r="AU7" s="177" t="str">
        <f>IF(COUNT($F$16:$F$17)&lt;2,"",$F$16)</f>
        <v/>
      </c>
      <c r="AV7" s="178" t="str">
        <f>IF(COUNT($F$16:$F$17)&lt;2,"",$F$17)</f>
        <v/>
      </c>
      <c r="AW7" s="179" t="str">
        <f>IF(COUNT($AU$7:$AV$7)=0,"",$AU$7-$AV$7)</f>
        <v/>
      </c>
      <c r="AX7" s="178" t="str">
        <f>IF(COUNT($F$16:$F$17)&lt;2,"",SUM($G$16:$I$16))</f>
        <v/>
      </c>
      <c r="AY7" s="180" t="str">
        <f>IF(COUNT($F$16:$F$17)&lt;2,"",SUM($G$17:$I$17))</f>
        <v/>
      </c>
      <c r="AZ7" s="181" t="str">
        <f>IF(COUNT($AX7:$AY7)=0,"",$AX7-$AY7)</f>
        <v/>
      </c>
      <c r="BB7" s="297"/>
      <c r="BC7" s="297"/>
      <c r="BD7" s="297"/>
      <c r="BE7" s="297"/>
      <c r="BF7" s="297"/>
      <c r="BG7" s="297"/>
      <c r="BH7" s="297"/>
      <c r="BI7" s="297"/>
      <c r="BJ7" s="297"/>
      <c r="BK7" s="297"/>
      <c r="BL7" s="297"/>
      <c r="BM7" s="297"/>
      <c r="BN7" s="297"/>
      <c r="BO7" s="297"/>
      <c r="BP7" s="297"/>
      <c r="BQ7" s="297"/>
      <c r="BR7" s="297"/>
      <c r="BS7" s="297"/>
      <c r="BT7" s="297"/>
    </row>
    <row r="8" spans="2:72" ht="19.5" customHeight="1">
      <c r="B8" s="126"/>
      <c r="C8" s="6"/>
      <c r="D8" s="442" t="s">
        <v>282</v>
      </c>
      <c r="E8" s="442"/>
      <c r="F8" s="442"/>
      <c r="G8" s="10" t="s">
        <v>17</v>
      </c>
      <c r="H8" s="8" t="str">
        <f>IF(COUNT(F$18,F$23,F$24)=0,"",SUM(AND(F$18&lt;&gt;"",F$19&lt;&gt;"",F$18&gt;F$19),AND(F$22&lt;&gt;"",F$23&lt;&gt;"",F$23&gt;F$22),AND(F$24&lt;&gt;"",F$25&lt;&gt;"",F$24&gt;F$25)))</f>
        <v/>
      </c>
      <c r="I8" s="9"/>
      <c r="J8" s="6"/>
      <c r="K8" s="442" t="s">
        <v>285</v>
      </c>
      <c r="L8" s="442"/>
      <c r="M8" s="442"/>
      <c r="N8" s="10" t="s">
        <v>17</v>
      </c>
      <c r="O8" s="8" t="str">
        <f>IF(COUNT(M$18,M$23,M$24)=0,"",SUM(AND(M$18&lt;&gt;"",M$19&lt;&gt;"",M$18&gt;M$19),AND(M$22&lt;&gt;"",M$23&lt;&gt;"",M$23&gt;M$22),AND(M$24&lt;&gt;"",M$25&lt;&gt;"",M$24&gt;M$25)))</f>
        <v/>
      </c>
      <c r="P8" s="9"/>
      <c r="Q8" s="6"/>
      <c r="R8" s="442" t="s">
        <v>288</v>
      </c>
      <c r="S8" s="442"/>
      <c r="T8" s="442"/>
      <c r="U8" s="10" t="s">
        <v>17</v>
      </c>
      <c r="V8" s="8" t="str">
        <f>IF(COUNT(T$18,T$23,T$24)=0,"",SUM(AND(T$18&lt;&gt;"",T$19&lt;&gt;"",T$18&gt;T$19),AND(T$22&lt;&gt;"",T$23&lt;&gt;"",T$23&gt;T$22),AND(T$24&lt;&gt;"",T$25&lt;&gt;"",T$24&gt;T$25)))</f>
        <v/>
      </c>
      <c r="W8" s="9"/>
      <c r="X8" s="6"/>
      <c r="Y8" s="442" t="s">
        <v>290</v>
      </c>
      <c r="Z8" s="442"/>
      <c r="AA8" s="442"/>
      <c r="AB8" s="10" t="s">
        <v>17</v>
      </c>
      <c r="AC8" s="8" t="str">
        <f>IF(COUNT(AA$18,AA$23,AA$24)=0,"",SUM(AND(AA$18&lt;&gt;"",AA$19&lt;&gt;"",AA$18&gt;AA$19),AND(AA$22&lt;&gt;"",AA$23&lt;&gt;"",AA$23&gt;AA$22),AND(AA$24&lt;&gt;"",AA$25&lt;&gt;"",AA$24&gt;AA$25)))</f>
        <v/>
      </c>
      <c r="AD8" s="9"/>
      <c r="AE8" s="113"/>
      <c r="AG8" s="438" t="s">
        <v>41</v>
      </c>
      <c r="AH8" s="440" t="s">
        <v>42</v>
      </c>
      <c r="AI8" s="438" t="s">
        <v>41</v>
      </c>
      <c r="AJ8" s="440" t="s">
        <v>42</v>
      </c>
      <c r="AN8" s="182">
        <f>IF($C16="","",$C16)</f>
        <v>1</v>
      </c>
      <c r="AO8" s="171" t="str">
        <f t="shared" ref="AO8:AO18" si="1">IF($C$5="","",$C$5)</f>
        <v>Grupo A</v>
      </c>
      <c r="AP8" s="367" t="str">
        <f>IF($D$17="","",$D$17)</f>
        <v/>
      </c>
      <c r="AQ8" s="368" t="str">
        <f t="shared" si="0"/>
        <v>Grupo A</v>
      </c>
      <c r="AR8" s="368" t="str">
        <f t="shared" si="0"/>
        <v>Grupo A</v>
      </c>
      <c r="AS8" s="369" t="str">
        <f t="shared" si="0"/>
        <v>Grupo A</v>
      </c>
      <c r="AT8" s="183" t="str">
        <f>IF(COUNT($F$16:$F$17)&lt;2,"",IF($F$16&lt;$F$17,"V",IF($F$16&gt;$F$17,"D","Empate??")))</f>
        <v/>
      </c>
      <c r="AU8" s="184" t="str">
        <f>IF(COUNT($F$16:$F$17)&lt;2,"",$F$17)</f>
        <v/>
      </c>
      <c r="AV8" s="185" t="str">
        <f>IF(COUNT($F$16:$F$17)&lt;2,"",$F$16)</f>
        <v/>
      </c>
      <c r="AW8" s="186" t="str">
        <f>IF(COUNT($AU8:$AV8)=0,"",$AU8-$AV8)</f>
        <v/>
      </c>
      <c r="AX8" s="185" t="str">
        <f>IF(COUNT($F$16:$F$17)&lt;2,"",SUM($G$17:$I$17))</f>
        <v/>
      </c>
      <c r="AY8" s="187" t="str">
        <f>IF(COUNT($F$16:$F$17)&lt;2,"",SUM($G$16:$I$16))</f>
        <v/>
      </c>
      <c r="AZ8" s="188" t="str">
        <f t="shared" ref="AZ8:AZ54" si="2">IF(COUNT($AX8:$AY8)=0,"",$AX8-$AY8)</f>
        <v/>
      </c>
      <c r="BB8" s="297"/>
      <c r="BC8" s="297"/>
      <c r="BD8" s="297"/>
      <c r="BE8" s="297"/>
      <c r="BF8" s="297"/>
      <c r="BG8" s="297"/>
      <c r="BH8" s="297"/>
      <c r="BI8" s="297"/>
      <c r="BJ8" s="297"/>
      <c r="BK8" s="297"/>
      <c r="BL8" s="297"/>
      <c r="BM8" s="297"/>
      <c r="BN8" s="297"/>
      <c r="BO8" s="297"/>
      <c r="BP8" s="297"/>
      <c r="BQ8" s="297"/>
      <c r="BR8" s="297"/>
      <c r="BS8" s="297"/>
      <c r="BT8" s="297"/>
    </row>
    <row r="9" spans="2:72" ht="19.5" customHeight="1" thickBot="1">
      <c r="B9" s="126"/>
      <c r="C9" s="6"/>
      <c r="D9" s="442" t="s">
        <v>283</v>
      </c>
      <c r="E9" s="442"/>
      <c r="F9" s="442"/>
      <c r="G9" s="10" t="s">
        <v>17</v>
      </c>
      <c r="H9" s="8" t="str">
        <f>IF(COUNT(F$19,F$21,F$26)=0,"",SUM(AND(F$18&lt;&gt;"",F$19&lt;&gt;"",F$19&gt;F$18),AND(F$20&lt;&gt;"",F$21&lt;&gt;"",F$21&gt;F$20),AND(F$26&lt;&gt;"",F$27&lt;&gt;"",F$26&gt;F$27)))</f>
        <v/>
      </c>
      <c r="I9" s="9"/>
      <c r="J9" s="6"/>
      <c r="K9" s="442" t="s">
        <v>286</v>
      </c>
      <c r="L9" s="442"/>
      <c r="M9" s="442"/>
      <c r="N9" s="10" t="s">
        <v>17</v>
      </c>
      <c r="O9" s="8" t="str">
        <f>IF(COUNT(M$19,M$21,M$26)=0,"",SUM(AND(M$18&lt;&gt;"",M$19&lt;&gt;"",M$19&gt;M$18),AND(M$20&lt;&gt;"",M$21&lt;&gt;"",M$21&gt;M$20),AND(M$26&lt;&gt;"",M$27&lt;&gt;"",M$26&gt;M$27)))</f>
        <v/>
      </c>
      <c r="P9" s="9"/>
      <c r="Q9" s="6"/>
      <c r="R9" s="442" t="s">
        <v>289</v>
      </c>
      <c r="S9" s="442"/>
      <c r="T9" s="442"/>
      <c r="U9" s="10" t="s">
        <v>17</v>
      </c>
      <c r="V9" s="8" t="str">
        <f>IF(COUNT(T$19,T$21,T$26)=0,"",SUM(AND(T$18&lt;&gt;"",T$19&lt;&gt;"",T$19&gt;T$18),AND(T$20&lt;&gt;"",T$21&lt;&gt;"",T$21&gt;T$20),AND(T$26&lt;&gt;"",T$27&lt;&gt;"",T$26&gt;T$27)))</f>
        <v/>
      </c>
      <c r="W9" s="9"/>
      <c r="X9" s="6"/>
      <c r="Y9" s="442"/>
      <c r="Z9" s="442"/>
      <c r="AA9" s="442"/>
      <c r="AB9" s="10" t="s">
        <v>17</v>
      </c>
      <c r="AC9" s="8" t="str">
        <f>IF(COUNT(AA$19,AA$21,AA$26)=0,"",SUM(AND(AA$18&lt;&gt;"",AA$19&lt;&gt;"",AA$19&gt;AA$18),AND(AA$20&lt;&gt;"",AA$21&lt;&gt;"",AA$21&gt;AA$20),AND(AA$26&lt;&gt;"",AA$27&lt;&gt;"",AA$26&gt;AA$27)))</f>
        <v/>
      </c>
      <c r="AD9" s="9"/>
      <c r="AE9" s="113"/>
      <c r="AG9" s="439"/>
      <c r="AH9" s="441"/>
      <c r="AI9" s="439"/>
      <c r="AJ9" s="441"/>
      <c r="AN9" s="189">
        <f>IF($C18="","",$C18)</f>
        <v>2</v>
      </c>
      <c r="AO9" s="172" t="str">
        <f t="shared" si="1"/>
        <v>Grupo A</v>
      </c>
      <c r="AP9" s="364" t="str">
        <f>IF($D$18="","",$D$18)</f>
        <v>F Monteiro/B Campos (Norte)</v>
      </c>
      <c r="AQ9" s="365" t="str">
        <f t="shared" si="0"/>
        <v>Grupo A</v>
      </c>
      <c r="AR9" s="365" t="str">
        <f t="shared" si="0"/>
        <v>Grupo A</v>
      </c>
      <c r="AS9" s="366" t="str">
        <f t="shared" si="0"/>
        <v>Grupo A</v>
      </c>
      <c r="AT9" s="190" t="str">
        <f>IF(COUNT($F$18:$F$19)&lt;2,"",IF($F$18&gt;$F$19,"V",IF($F$18&lt;$F$19,"D","Empate??")))</f>
        <v/>
      </c>
      <c r="AU9" s="191" t="str">
        <f>IF(COUNT($F$18:$F$19)&lt;2,"",$F$18)</f>
        <v/>
      </c>
      <c r="AV9" s="192" t="str">
        <f>IF(COUNT($F$18:$F$19)&lt;2,"",$F$19)</f>
        <v/>
      </c>
      <c r="AW9" s="193" t="str">
        <f t="shared" ref="AW9:AW54" si="3">IF(COUNT($AU9:$AV9)=0,"",$AU9-$AV9)</f>
        <v/>
      </c>
      <c r="AX9" s="192" t="str">
        <f>IF(COUNT($F$18:$F$19)&lt;2,"",SUM($G$18:$I$18))</f>
        <v/>
      </c>
      <c r="AY9" s="194" t="str">
        <f>IF(COUNT($F$18:$F$19)&lt;2,"",SUM($G$19:$I$19))</f>
        <v/>
      </c>
      <c r="AZ9" s="195" t="str">
        <f t="shared" si="2"/>
        <v/>
      </c>
      <c r="BB9" s="297"/>
      <c r="BC9" s="297"/>
      <c r="BD9" s="297"/>
      <c r="BE9" s="297"/>
      <c r="BF9" s="297"/>
      <c r="BG9" s="297"/>
      <c r="BH9" s="297"/>
      <c r="BI9" s="297"/>
      <c r="BJ9" s="297"/>
      <c r="BK9" s="297"/>
      <c r="BL9" s="297"/>
      <c r="BM9" s="297"/>
      <c r="BN9" s="297"/>
      <c r="BO9" s="297"/>
      <c r="BP9" s="297"/>
      <c r="BQ9" s="297"/>
      <c r="BR9" s="297"/>
      <c r="BS9" s="297"/>
      <c r="BT9" s="297"/>
    </row>
    <row r="10" spans="2:72" ht="19.5" customHeight="1" thickBot="1">
      <c r="B10" s="126"/>
      <c r="C10" s="6"/>
      <c r="D10" s="442"/>
      <c r="E10" s="442"/>
      <c r="F10" s="442"/>
      <c r="G10" s="10" t="s">
        <v>17</v>
      </c>
      <c r="H10" s="11" t="str">
        <f>IF(COUNT(F$17,F$20,F$25)=0,"",SUM(AND(F$16&lt;&gt;"",F$17&lt;&gt;"",F$17&gt;F$16),AND(F$20&lt;&gt;"",F$21&lt;&gt;"",F$20&gt;F$21),AND(F$24&lt;&gt;"",F$25&lt;&gt;"",F$25&gt;F$24)))</f>
        <v/>
      </c>
      <c r="I10" s="12"/>
      <c r="J10" s="6"/>
      <c r="K10" s="442"/>
      <c r="L10" s="442"/>
      <c r="M10" s="442"/>
      <c r="N10" s="10" t="s">
        <v>17</v>
      </c>
      <c r="O10" s="11" t="str">
        <f>IF(COUNT(M$17,M$20,M$25)=0,"",SUM(AND(M$16&lt;&gt;"",M$17&lt;&gt;"",M$17&gt;M$16),AND(M$20&lt;&gt;"",M$21&lt;&gt;"",M$20&gt;M$21),AND(M$24&lt;&gt;"",M$25&lt;&gt;"",M$25&gt;M$24)))</f>
        <v/>
      </c>
      <c r="P10" s="12"/>
      <c r="Q10" s="6"/>
      <c r="R10" s="442"/>
      <c r="S10" s="442"/>
      <c r="T10" s="442"/>
      <c r="U10" s="10" t="s">
        <v>17</v>
      </c>
      <c r="V10" s="11" t="str">
        <f>IF(COUNT(T$17,T$20,T$25)=0,"",SUM(AND(T$16&lt;&gt;"",T$17&lt;&gt;"",T$17&gt;T$16),AND(T$20&lt;&gt;"",T$21&lt;&gt;"",T$20&gt;T$21),AND(T$24&lt;&gt;"",T$25&lt;&gt;"",T$25&gt;T$24)))</f>
        <v/>
      </c>
      <c r="W10" s="12"/>
      <c r="X10" s="6"/>
      <c r="Y10" s="442"/>
      <c r="Z10" s="442"/>
      <c r="AA10" s="442"/>
      <c r="AB10" s="10" t="s">
        <v>17</v>
      </c>
      <c r="AC10" s="11" t="str">
        <f>IF(COUNT(AA$17,AA$20,AA$25)=0,"",SUM(AND(AA$16&lt;&gt;"",AA$17&lt;&gt;"",AA$17&gt;AA$16),AND(AA$20&lt;&gt;"",AA$21&lt;&gt;"",AA$20&gt;AA$21),AND(AA$24&lt;&gt;"",AA$25&lt;&gt;"",AA$25&gt;AA$24)))</f>
        <v/>
      </c>
      <c r="AD10" s="12"/>
      <c r="AE10" s="113"/>
      <c r="AG10" s="159">
        <f>$C$16</f>
        <v>1</v>
      </c>
      <c r="AH10" s="160"/>
      <c r="AI10" s="159">
        <f>$C$24</f>
        <v>17</v>
      </c>
      <c r="AJ10" s="160"/>
      <c r="AK10" s="431" t="s">
        <v>50</v>
      </c>
      <c r="AL10" s="432"/>
      <c r="AN10" s="182">
        <f>IF($C18="","",$C18)</f>
        <v>2</v>
      </c>
      <c r="AO10" s="171" t="str">
        <f t="shared" si="1"/>
        <v>Grupo A</v>
      </c>
      <c r="AP10" s="367" t="str">
        <f>IF($D$19="","",$D$19)</f>
        <v>L Pascoal/P Bezerra (Alentejo)</v>
      </c>
      <c r="AQ10" s="368" t="str">
        <f t="shared" si="0"/>
        <v>Grupo A</v>
      </c>
      <c r="AR10" s="368" t="str">
        <f t="shared" si="0"/>
        <v>Grupo A</v>
      </c>
      <c r="AS10" s="369" t="str">
        <f t="shared" si="0"/>
        <v>Grupo A</v>
      </c>
      <c r="AT10" s="183" t="str">
        <f>IF(COUNT($F$18:$F$19)&lt;2,"",IF($F$18&lt;$F$19,"V",IF($F$18&gt;$F$19,"D","Empate??")))</f>
        <v/>
      </c>
      <c r="AU10" s="184" t="str">
        <f>IF(COUNT($F$18:$F$19)&lt;2,"",$F$19)</f>
        <v/>
      </c>
      <c r="AV10" s="185" t="str">
        <f>IF(COUNT($F$18:$F$19)&lt;2,"",$F$18)</f>
        <v/>
      </c>
      <c r="AW10" s="186" t="str">
        <f t="shared" si="3"/>
        <v/>
      </c>
      <c r="AX10" s="185" t="str">
        <f>IF(COUNT($F$18:$F$19)&lt;2,"",SUM($G$19:$I$19))</f>
        <v/>
      </c>
      <c r="AY10" s="187" t="str">
        <f>IF(COUNT($F$18:$F$19)&lt;2,"",SUM($G$18:$I$18))</f>
        <v/>
      </c>
      <c r="AZ10" s="188" t="str">
        <f t="shared" si="2"/>
        <v/>
      </c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</row>
    <row r="11" spans="2:72" ht="17.25" customHeight="1">
      <c r="B11" s="126"/>
      <c r="C11" s="435" t="s">
        <v>16</v>
      </c>
      <c r="D11" s="436"/>
      <c r="E11" s="436"/>
      <c r="F11" s="436"/>
      <c r="G11" s="436"/>
      <c r="H11" s="436"/>
      <c r="I11" s="437"/>
      <c r="J11" s="435" t="s">
        <v>16</v>
      </c>
      <c r="K11" s="436"/>
      <c r="L11" s="436"/>
      <c r="M11" s="436"/>
      <c r="N11" s="436"/>
      <c r="O11" s="436"/>
      <c r="P11" s="437"/>
      <c r="Q11" s="435" t="s">
        <v>16</v>
      </c>
      <c r="R11" s="436"/>
      <c r="S11" s="436"/>
      <c r="T11" s="436"/>
      <c r="U11" s="436"/>
      <c r="V11" s="436"/>
      <c r="W11" s="437"/>
      <c r="X11" s="435" t="s">
        <v>16</v>
      </c>
      <c r="Y11" s="436"/>
      <c r="Z11" s="436"/>
      <c r="AA11" s="436"/>
      <c r="AB11" s="436"/>
      <c r="AC11" s="436"/>
      <c r="AD11" s="437"/>
      <c r="AE11" s="113"/>
      <c r="AG11" s="109">
        <f>$C$18</f>
        <v>2</v>
      </c>
      <c r="AH11" s="161"/>
      <c r="AI11" s="109">
        <f>$C$26</f>
        <v>18</v>
      </c>
      <c r="AJ11" s="161"/>
      <c r="AK11" s="159">
        <f>$O$52</f>
        <v>33</v>
      </c>
      <c r="AL11" s="160"/>
      <c r="AN11" s="189">
        <f>IF($C20="","",$C20)</f>
        <v>9</v>
      </c>
      <c r="AO11" s="172" t="str">
        <f t="shared" si="1"/>
        <v>Grupo A</v>
      </c>
      <c r="AP11" s="364" t="str">
        <f>IF($D$20="","",$D$20)</f>
        <v/>
      </c>
      <c r="AQ11" s="365" t="str">
        <f t="shared" si="0"/>
        <v>Grupo A</v>
      </c>
      <c r="AR11" s="365" t="str">
        <f t="shared" si="0"/>
        <v>Grupo A</v>
      </c>
      <c r="AS11" s="366" t="str">
        <f t="shared" si="0"/>
        <v>Grupo A</v>
      </c>
      <c r="AT11" s="190" t="str">
        <f>IF(COUNT($F$20:$F$21)&lt;2,"",IF($F$20&gt;$F$21,"V",IF($F$20&lt;$F$21,"D","Empate??")))</f>
        <v/>
      </c>
      <c r="AU11" s="191" t="str">
        <f>IF(COUNT($F$20:$F$21)&lt;2,"",$F$20)</f>
        <v/>
      </c>
      <c r="AV11" s="192" t="str">
        <f>IF(COUNT($F$20:$F$21)&lt;2,"",$F$21)</f>
        <v/>
      </c>
      <c r="AW11" s="193" t="str">
        <f t="shared" si="3"/>
        <v/>
      </c>
      <c r="AX11" s="192" t="str">
        <f>IF(COUNT($F$20:$F$21)&lt;2,"",SUM($G$20:$I$20))</f>
        <v/>
      </c>
      <c r="AY11" s="194" t="str">
        <f>IF(COUNT($F$20:$F$21)&lt;2,"",SUM($G$21:$I$21))</f>
        <v/>
      </c>
      <c r="AZ11" s="195" t="str">
        <f t="shared" si="2"/>
        <v/>
      </c>
      <c r="BB11" s="297"/>
      <c r="BC11" s="297"/>
      <c r="BD11" s="297"/>
      <c r="BE11" s="297"/>
      <c r="BF11" s="297"/>
      <c r="BG11" s="297"/>
      <c r="BH11" s="297"/>
      <c r="BI11" s="297"/>
      <c r="BJ11" s="297"/>
      <c r="BK11" s="297"/>
      <c r="BL11" s="297"/>
      <c r="BM11" s="297"/>
      <c r="BN11" s="297"/>
      <c r="BO11" s="297"/>
      <c r="BP11" s="297"/>
      <c r="BQ11" s="297"/>
      <c r="BR11" s="297"/>
      <c r="BS11" s="297"/>
      <c r="BT11" s="297"/>
    </row>
    <row r="12" spans="2:72" ht="15" customHeight="1">
      <c r="B12" s="126"/>
      <c r="C12" s="13" t="s">
        <v>12</v>
      </c>
      <c r="D12" s="433" t="str">
        <f>IF(COUNTIF(H$7:H$10,"")&gt;2,"",IF(COUNTIF(H$7:H$10,"")=2,(IF(LARGE(H$7:H$10,1)=H$7,D$7,IF(LARGE(H$7:H$10,1)=H$8,D$8,IF(LARGE(H$7:H$10,1)=H$9,D$9,IF(LARGE(H$7:H$10,1)=H$10,D$10))))),IF(COUNTIF(H$7:H$10,"")=1,(IF(AND(LARGE(H$7:H$10,1)=LARGE(H$7:H$10,2),LARGE(H$7:H$10,2)=LARGE(H$7:H$10,3)),"empate entre 1º, 2º e 3º",IF(LARGE(H$7:H$10,1)=H$7,D$7,IF(LARGE(H$7:H$10,1)=H$8,D$8,IF(LARGE(H$7:H$10,1)=H$9,D$9,IF(LARGE(H$7:H$10,1)=H$10,D$10)))))),IF(COUNTIF(H$7:H$10,2)=2,"empate entre 1º e 2º",IF(COUNTIF(H$7:H$10,2)=3,"empate entre 1º, 2º e 3º",IF(LARGE(H$7:H$10,1)=H$7,D$7,IF(LARGE(H$7:H$10,1)=H$8,D$8,IF(LARGE(H$7:H$10,1)=H$9,D$9,IF(LARGE(H$7:H$10,1)=H$10,D$10)))))))))</f>
        <v/>
      </c>
      <c r="E12" s="433"/>
      <c r="F12" s="433"/>
      <c r="G12" s="433"/>
      <c r="H12" s="433"/>
      <c r="I12" s="14"/>
      <c r="J12" s="13" t="s">
        <v>12</v>
      </c>
      <c r="K12" s="433" t="str">
        <f>IF(COUNTIF(O$7:O$10,"")&gt;2,"",IF(COUNTIF(O$7:O$10,"")=2,(IF(LARGE(O$7:O$10,1)=O$7,K$7,IF(LARGE(O$7:O$10,1)=O$8,K$8,IF(LARGE(O$7:O$10,1)=O$9,K$9,IF(LARGE(O$7:O$10,1)=O$10,K$10))))),IF(COUNTIF(O$7:O$10,"")=1,(IF(AND(LARGE(O$7:O$10,1)=LARGE(O$7:O$10,2),LARGE(O$7:O$10,2)=LARGE(O$7:O$10,3)),"empate entre 1º, 2º e 3º",IF(LARGE(O$7:O$10,1)=O$7,K$7,IF(LARGE(O$7:O$10,1)=O$8,K$8,IF(LARGE(O$7:O$10,1)=O$9,K$9,IF(LARGE(O$7:O$10,1)=O$10,K$10)))))),IF(COUNTIF(O$7:O$10,2)=2,"empate entre 1º e 2º",IF(COUNTIF(O$7:O$10,2)=3,"empate entre 1º, 2º e 3º",IF(LARGE(O$7:O$10,1)=O$7,K$7,IF(LARGE(O$7:O$10,1)=O$8,K$8,IF(LARGE(O$7:O$10,1)=O$9,K$9,IF(LARGE(O$7:O$10,1)=O$10,K$10)))))))))</f>
        <v/>
      </c>
      <c r="L12" s="433"/>
      <c r="M12" s="433"/>
      <c r="N12" s="433"/>
      <c r="O12" s="433"/>
      <c r="P12" s="14"/>
      <c r="Q12" s="13" t="s">
        <v>12</v>
      </c>
      <c r="R12" s="433" t="str">
        <f>IF(COUNTIF(V$7:V$10,"")&gt;2,"",IF(COUNTIF(V$7:V$10,"")=2,(IF(LARGE(V$7:V$10,1)=V$7,R$7,IF(LARGE(V$7:V$10,1)=V$8,R$8,IF(LARGE(V$7:V$10,1)=V$9,R$9,IF(LARGE(V$7:V$10,1)=V$10,R$10))))),IF(COUNTIF(V$7:V$10,"")=1,(IF(AND(LARGE(V$7:V$10,1)=LARGE(V$7:V$10,2),LARGE(V$7:V$10,2)=LARGE(V$7:V$10,3)),"empate entre 1º, 2º e 3º",IF(LARGE(V$7:V$10,1)=V$7,R$7,IF(LARGE(V$7:V$10,1)=V$8,R$8,IF(LARGE(V$7:V$10,1)=V$9,R$9,IF(LARGE(V$7:V$10,1)=V$10,R$10)))))),IF(COUNTIF(V$7:V$10,2)=2,"empate entre 1º e 2º",IF(COUNTIF(V$7:V$10,2)=3,"empate entre 1º, 2º e 3º",IF(LARGE(V$7:V$10,1)=V$7,R$7,IF(LARGE(V$7:V$10,1)=V$8,R$8,IF(LARGE(V$7:V$10,1)=V$9,R$9,IF(LARGE(V$7:V$10,1)=V$10,R$10)))))))))</f>
        <v/>
      </c>
      <c r="S12" s="433"/>
      <c r="T12" s="433"/>
      <c r="U12" s="433"/>
      <c r="V12" s="433"/>
      <c r="W12" s="14"/>
      <c r="X12" s="13" t="s">
        <v>12</v>
      </c>
      <c r="Y12" s="433" t="str">
        <f>IF(COUNTIF(AC$7:AC$10,"")&gt;2,"",IF(COUNTIF(AC$7:AC$10,"")=2,(IF(LARGE(AC$7:AC$10,1)=AC$7,Y$7,IF(LARGE(AC$7:AC$10,1)=AC$8,Y$8,IF(LARGE(AC$7:AC$10,1)=AC$9,Y$9,IF(LARGE(AC$7:AC$10,1)=AC$10,Y$10))))),IF(COUNTIF(AC$7:AC$10,"")=1,(IF(AND(LARGE(AC$7:AC$10,1)=LARGE(AC$7:AC$10,2),LARGE(AC$7:AC$10,2)=LARGE(AC$7:AC$10,3)),"empate entre 1º, 2º e 3º",IF(LARGE(AC$7:AC$10,1)=AC$7,Y$7,IF(LARGE(AC$7:AC$10,1)=AC$8,Y$8,IF(LARGE(AC$7:AC$10,1)=AC$9,Y$9,IF(LARGE(AC$7:AC$10,1)=AC$10,Y$10)))))),IF(COUNTIF(AC$7:AC$10,2)=2,"empate entre 1º e 2º",IF(COUNTIF(AC$7:AC$10,2)=3,"empate entre 1º, 2º e 3º",IF(LARGE(AC$7:AC$10,1)=AC$7,Y$7,IF(LARGE(AC$7:AC$10,1)=AC$8,Y$8,IF(LARGE(AC$7:AC$10,1)=AC$9,Y$9,IF(LARGE(AC$7:AC$10,1)=AC$10,Y$10)))))))))</f>
        <v/>
      </c>
      <c r="Z12" s="433"/>
      <c r="AA12" s="433"/>
      <c r="AB12" s="433"/>
      <c r="AC12" s="433"/>
      <c r="AD12" s="14"/>
      <c r="AE12" s="113"/>
      <c r="AG12" s="109">
        <f>$J$16</f>
        <v>3</v>
      </c>
      <c r="AH12" s="161"/>
      <c r="AI12" s="109">
        <f>$J$24</f>
        <v>19</v>
      </c>
      <c r="AJ12" s="161"/>
      <c r="AK12" s="109">
        <f>$O$60</f>
        <v>34</v>
      </c>
      <c r="AL12" s="161"/>
      <c r="AN12" s="182">
        <f>IF($C20="","",$C20)</f>
        <v>9</v>
      </c>
      <c r="AO12" s="171" t="str">
        <f t="shared" si="1"/>
        <v>Grupo A</v>
      </c>
      <c r="AP12" s="367" t="str">
        <f>IF($D$21="","",$D$21)</f>
        <v>L Pascoal/P Bezerra (Alentejo)</v>
      </c>
      <c r="AQ12" s="368" t="str">
        <f t="shared" si="0"/>
        <v>Grupo A</v>
      </c>
      <c r="AR12" s="368" t="str">
        <f t="shared" si="0"/>
        <v>Grupo A</v>
      </c>
      <c r="AS12" s="369" t="str">
        <f t="shared" si="0"/>
        <v>Grupo A</v>
      </c>
      <c r="AT12" s="183" t="str">
        <f>IF(COUNT($F$20:$F$21)&lt;2,"",IF($F$20&lt;$F$21,"V",IF($F$20&gt;$F$21,"D","Empate??")))</f>
        <v/>
      </c>
      <c r="AU12" s="184" t="str">
        <f>IF(COUNT($F$20:$F$21)&lt;2,"",$F$21)</f>
        <v/>
      </c>
      <c r="AV12" s="185" t="str">
        <f>IF(COUNT($F$20:$F$21)&lt;2,"",$F$20)</f>
        <v/>
      </c>
      <c r="AW12" s="186" t="str">
        <f t="shared" si="3"/>
        <v/>
      </c>
      <c r="AX12" s="185" t="str">
        <f>IF(COUNT($F$20:$F$21)&lt;2,"",SUM($G$21:$I$21))</f>
        <v/>
      </c>
      <c r="AY12" s="187" t="str">
        <f>IF(COUNT($F$20:$F$21)&lt;2,"",SUM($G$20:$I$20))</f>
        <v/>
      </c>
      <c r="AZ12" s="188" t="str">
        <f t="shared" si="2"/>
        <v/>
      </c>
      <c r="BB12" s="240"/>
      <c r="BC12" s="240"/>
    </row>
    <row r="13" spans="2:72" ht="15" customHeight="1">
      <c r="B13" s="126"/>
      <c r="C13" s="13" t="s">
        <v>13</v>
      </c>
      <c r="D13" s="433" t="str">
        <f>IF(COUNTIF(H$7:H$10,"")&gt;2,"",IF(COUNTIF(H$7:H$10,"")=2,(IF(LARGE(H$7:H$10,2)=H$7,D$7,IF(LARGE(H$7:H$10,2)=H$8,D$8,IF(LARGE(H$7:H$10,2)=H$9,D$9,IF(LARGE(H$7:H$10,2)=H$10,D$10))))),IF(COUNTIF(H$7:H$10,"")=1,(IF(AND(LARGE(H$7:H$10,1)=LARGE(H$7:H$10,2),LARGE(H$7:H$10,2)=LARGE(H$7:H$10,3)),"empate entre 1º, 2º e 3º",IF(LARGE(H$7:H$10,2)=H$7,D$7,IF(LARGE(H$7:H$10,2)=H$8,D$8,IF(LARGE(H$7:H$10,2)=H$9,D$9,IF(LARGE(H$7:H$10,2)=H$10,D$10)))))),IF(COUNTIF(H$7:H$10,2)=2,"empate entre 1º e 2º",IF(COUNTIF(H$7:H$10,2)=3,"empate entre 1º, 2º e 3º",IF(COUNTIF(H$7:H$10,1)=3,"empate entre 2º, 3º e 4º",IF(LARGE(H$7:H$10,2)=H$7,D$7,IF(LARGE(H$7:H$10,2)=H$8,D$8,IF(LARGE(H$7:H$10,2)=H$9,D$9,IF(LARGE(H$7:H$10,2)=H$10,D$10))))))))))</f>
        <v/>
      </c>
      <c r="E13" s="433"/>
      <c r="F13" s="433"/>
      <c r="G13" s="433"/>
      <c r="H13" s="433"/>
      <c r="I13" s="14"/>
      <c r="J13" s="13" t="s">
        <v>13</v>
      </c>
      <c r="K13" s="433" t="str">
        <f>IF(COUNTIF(O$7:O$10,"")&gt;2,"",IF(COUNTIF(O$7:O$10,"")=2,(IF(LARGE(O$7:O$10,2)=O$7,K$7,IF(LARGE(O$7:O$10,2)=O$8,K$8,IF(LARGE(O$7:O$10,2)=O$9,K$9,IF(LARGE(O$7:O$10,2)=O$10,K$10))))),IF(COUNTIF(O$7:O$10,"")=1,(IF(AND(LARGE(O$7:O$10,1)=LARGE(O$7:O$10,2),LARGE(O$7:O$10,2)=LARGE(O$7:O$10,3)),"empate entre 1º, 2º e 3º",IF(LARGE(O$7:O$10,2)=O$7,K$7,IF(LARGE(O$7:O$10,2)=O$8,K$8,IF(LARGE(O$7:O$10,2)=O$9,K$9,IF(LARGE(O$7:O$10,2)=O$10,K$10)))))),IF(COUNTIF(O$7:O$10,2)=2,"empate entre 1º e 2º",IF(COUNTIF(O$7:O$10,2)=3,"empate entre 1º, 2º e 3º",IF(COUNTIF(O$7:O$10,1)=3,"empate entre 2º, 3º e 4º",IF(LARGE(O$7:O$10,2)=O$7,K$7,IF(LARGE(O$7:O$10,2)=O$8,K$8,IF(LARGE(O$7:O$10,2)=O$9,K$9,IF(LARGE(O$7:O$10,2)=O$10,K$10))))))))))</f>
        <v/>
      </c>
      <c r="L13" s="433"/>
      <c r="M13" s="433"/>
      <c r="N13" s="433"/>
      <c r="O13" s="433"/>
      <c r="P13" s="14"/>
      <c r="Q13" s="13" t="s">
        <v>13</v>
      </c>
      <c r="R13" s="433" t="str">
        <f>IF(COUNTIF(V$7:V$10,"")&gt;2,"",IF(COUNTIF(V$7:V$10,"")=2,(IF(LARGE(V$7:V$10,2)=V$7,R$7,IF(LARGE(V$7:V$10,2)=V$8,R$8,IF(LARGE(V$7:V$10,2)=V$9,R$9,IF(LARGE(V$7:V$10,2)=V$10,R$10))))),IF(COUNTIF(V$7:V$10,"")=1,(IF(AND(LARGE(V$7:V$10,1)=LARGE(V$7:V$10,2),LARGE(V$7:V$10,2)=LARGE(V$7:V$10,3)),"empate entre 1º, 2º e 3º",IF(LARGE(V$7:V$10,2)=V$7,R$7,IF(LARGE(V$7:V$10,2)=V$8,R$8,IF(LARGE(V$7:V$10,2)=V$9,R$9,IF(LARGE(V$7:V$10,2)=V$10,R$10)))))),IF(COUNTIF(V$7:V$10,2)=2,"empate entre 1º e 2º",IF(COUNTIF(V$7:V$10,2)=3,"empate entre 1º, 2º e 3º",IF(COUNTIF(V$7:V$10,1)=3,"empate entre 2º, 3º e 4º",IF(LARGE(V$7:V$10,2)=V$7,R$7,IF(LARGE(V$7:V$10,2)=V$8,R$8,IF(LARGE(V$7:V$10,2)=V$9,R$9,IF(LARGE(V$7:V$10,2)=V$10,R$10))))))))))</f>
        <v/>
      </c>
      <c r="S13" s="433"/>
      <c r="T13" s="433"/>
      <c r="U13" s="433"/>
      <c r="V13" s="433"/>
      <c r="W13" s="14"/>
      <c r="X13" s="13" t="s">
        <v>13</v>
      </c>
      <c r="Y13" s="433" t="str">
        <f>IF(COUNTIF(AC$7:AC$10,"")&gt;2,"",IF(COUNTIF(AC$7:AC$10,"")=2,(IF(LARGE(AC$7:AC$10,2)=AC$7,Y$7,IF(LARGE(AC$7:AC$10,2)=AC$8,Y$8,IF(LARGE(AC$7:AC$10,2)=AC$9,Y$9,IF(LARGE(AC$7:AC$10,2)=AC$10,Y$10))))),IF(COUNTIF(AC$7:AC$10,"")=1,(IF(AND(LARGE(AC$7:AC$10,1)=LARGE(AC$7:AC$10,2),LARGE(AC$7:AC$10,2)=LARGE(AC$7:AC$10,3)),"empate entre 1º, 2º e 3º",IF(LARGE(AC$7:AC$10,2)=AC$7,Y$7,IF(LARGE(AC$7:AC$10,2)=AC$8,Y$8,IF(LARGE(AC$7:AC$10,2)=AC$9,Y$9,IF(LARGE(AC$7:AC$10,2)=AC$10,Y$10)))))),IF(COUNTIF(AC$7:AC$10,2)=2,"empate entre 1º e 2º",IF(COUNTIF(AC$7:AC$10,2)=3,"empate entre 1º, 2º e 3º",IF(COUNTIF(AC$7:AC$10,1)=3,"empate entre 2º, 3º e 4º",IF(LARGE(AC$7:AC$10,2)=AC$7,Y$7,IF(LARGE(AC$7:AC$10,2)=AC$8,Y$8,IF(LARGE(AC$7:AC$10,2)=AC$9,Y$9,IF(LARGE(AC$7:AC$10,2)=AC$10,Y$10))))))))))</f>
        <v/>
      </c>
      <c r="Z13" s="433"/>
      <c r="AA13" s="433"/>
      <c r="AB13" s="433"/>
      <c r="AC13" s="433"/>
      <c r="AD13" s="14"/>
      <c r="AE13" s="113"/>
      <c r="AG13" s="109">
        <f>$J$18</f>
        <v>4</v>
      </c>
      <c r="AH13" s="161"/>
      <c r="AI13" s="109">
        <f>$J$26</f>
        <v>20</v>
      </c>
      <c r="AJ13" s="161"/>
      <c r="AK13" s="109">
        <f>$V$56</f>
        <v>35</v>
      </c>
      <c r="AL13" s="161"/>
      <c r="AN13" s="189">
        <f>IF($C22="","",$C22)</f>
        <v>10</v>
      </c>
      <c r="AO13" s="172" t="str">
        <f t="shared" si="1"/>
        <v>Grupo A</v>
      </c>
      <c r="AP13" s="364" t="str">
        <f>IF($D$22="","",$D$22)</f>
        <v>J Eduardo/G Gomes (Lisboa)</v>
      </c>
      <c r="AQ13" s="365" t="str">
        <f t="shared" si="0"/>
        <v>Grupo A</v>
      </c>
      <c r="AR13" s="365" t="str">
        <f t="shared" si="0"/>
        <v>Grupo A</v>
      </c>
      <c r="AS13" s="366" t="str">
        <f t="shared" si="0"/>
        <v>Grupo A</v>
      </c>
      <c r="AT13" s="190" t="str">
        <f>IF(COUNT($F$22:$F$23)&lt;2,"",IF($F$22&gt;$F$23,"V",IF($F$22&lt;$F$23,"D","Empate??")))</f>
        <v/>
      </c>
      <c r="AU13" s="191" t="str">
        <f>IF(COUNT($F$22:$F$23)&lt;2,"",$F$22)</f>
        <v/>
      </c>
      <c r="AV13" s="192" t="str">
        <f>IF(COUNT($F$22:$F$23)&lt;2,"",$F$23)</f>
        <v/>
      </c>
      <c r="AW13" s="193" t="str">
        <f t="shared" si="3"/>
        <v/>
      </c>
      <c r="AX13" s="192" t="str">
        <f>IF(COUNT($F$22:$F$23)&lt;2,"",SUM($G$22:$I$22))</f>
        <v/>
      </c>
      <c r="AY13" s="194" t="str">
        <f>IF(COUNT($F$22:$F$23)&lt;2,"",SUM($G$23:$I$23))</f>
        <v/>
      </c>
      <c r="AZ13" s="195" t="str">
        <f t="shared" si="2"/>
        <v/>
      </c>
    </row>
    <row r="14" spans="2:72" ht="15" customHeight="1" thickBot="1">
      <c r="B14" s="126"/>
      <c r="C14" s="6" t="s">
        <v>14</v>
      </c>
      <c r="D14" s="434" t="str">
        <f>IF(COUNTIF(H$7:H$10,"")&gt;=2,"",IF(COUNTIF(H$7:H$10,"")=1,(IF(LARGE(H$7:H$10,3)=1,"empate entre 1º, 2º e 3º",IF(LARGE(H$7:H$10,3)=H$7,D$7,IF(LARGE(H$7:H$10,3)=H$8,D$8,IF(LARGE(H$7:H$10,3)=H$9,D$9,IF(LARGE(H$7:H$10,3)=H$10,D$10)))))),IF(COUNTIF(H$7:H$10,2)=3,"empate entre 1º, 2º e 3º",IF(COUNTIF(H$7:H$10,1)=3,"empate entre 2º, 3º e 4º",IF(COUNTIF(H$7:H$10,1)=2,"empate entre 3º e 4º",IF(LARGE(H$7:H$10,3)=H$7,D$7,IF(LARGE(H$7:H$10,3)=H$8,D$8,IF(LARGE(H$7:H$10,3)=H$9,D$9,IF(LARGE(H$7:H$10,3)=H$10,D$10)))))))))</f>
        <v/>
      </c>
      <c r="E14" s="434"/>
      <c r="F14" s="434"/>
      <c r="G14" s="434"/>
      <c r="H14" s="434"/>
      <c r="I14" s="12"/>
      <c r="J14" s="15" t="s">
        <v>14</v>
      </c>
      <c r="K14" s="434" t="str">
        <f>IF(COUNTIF(O$7:O$10,"")&gt;=2,"",IF(COUNTIF(O$7:O$10,"")=1,(IF(LARGE(O$7:O$10,3)=1,"empate entre 1º, 2º e 3º",IF(LARGE(O$7:O$10,3)=O$7,K$7,IF(LARGE(O$7:O$10,3)=O$8,K$8,IF(LARGE(O$7:O$10,3)=O$9,K$9,IF(LARGE(O$7:O$10,3)=O$10,K$10)))))),IF(COUNTIF(O$7:O$10,2)=3,"empate entre 1º, 2º e 3º",IF(COUNTIF(O$7:O$10,1)=3,"empate entre 2º, 3º e 4º",IF(COUNTIF(O$7:O$10,1)=2,"empate entre 3º e 4º",IF(LARGE(O$7:O$10,3)=O$7,K$7,IF(LARGE(O$7:O$10,3)=O$8,K$8,IF(LARGE(O$7:O$10,3)=O$9,K$9,IF(LARGE(O$7:O$10,3)=O$10,K$10)))))))))</f>
        <v/>
      </c>
      <c r="L14" s="434"/>
      <c r="M14" s="434"/>
      <c r="N14" s="434"/>
      <c r="O14" s="434"/>
      <c r="P14" s="16"/>
      <c r="Q14" s="6" t="s">
        <v>14</v>
      </c>
      <c r="R14" s="434" t="str">
        <f>IF(COUNTIF(V$7:V$10,"")&gt;=2,"",IF(COUNTIF(V$7:V$10,"")=1,(IF(LARGE(V$7:V$10,3)=1,"empate entre 1º, 2º e 3º",IF(LARGE(V$7:V$10,3)=V$7,R$7,IF(LARGE(V$7:V$10,3)=V$8,R$8,IF(LARGE(V$7:V$10,3)=V$9,R$9,IF(LARGE(V$7:V$10,3)=V$10,R$10)))))),IF(COUNTIF(V$7:V$10,2)=3,"empate entre 1º, 2º e 3º",IF(COUNTIF(V$7:V$10,1)=3,"empate entre 2º, 3º e 4º",IF(COUNTIF(V$7:V$10,1)=2,"empate entre 3º e 4º",IF(LARGE(V$7:V$10,3)=V$7,R$7,IF(LARGE(V$7:V$10,3)=V$8,R$8,IF(LARGE(V$7:V$10,3)=V$9,R$9,IF(LARGE(V$7:V$10,3)=V$10,R$10)))))))))</f>
        <v/>
      </c>
      <c r="S14" s="434"/>
      <c r="T14" s="434"/>
      <c r="U14" s="434"/>
      <c r="V14" s="434"/>
      <c r="W14" s="12"/>
      <c r="X14" s="6" t="s">
        <v>14</v>
      </c>
      <c r="Y14" s="434" t="str">
        <f>IF(COUNTIF(AC$7:AC$10,"")&gt;=2,"",IF(COUNTIF(AC$7:AC$10,"")=1,(IF(LARGE(AC$7:AC$10,3)=1,"empate entre 1º, 2º e 3º",IF(LARGE(AC$7:AC$10,3)=AC$7,Y$7,IF(LARGE(AC$7:AC$10,3)=AC$8,Y$8,IF(LARGE(AC$7:AC$10,3)=AC$9,Y$9,IF(LARGE(AC$7:AC$10,3)=AC$10,Y$10)))))),IF(COUNTIF(AC$7:AC$10,2)=3,"empate entre 1º, 2º e 3º",IF(COUNTIF(AC$7:AC$10,1)=3,"empate entre 2º, 3º e 4º",IF(COUNTIF(AC$7:AC$10,1)=2,"empate entre 3º e 4º",IF(LARGE(AC$7:AC$10,3)=AC$7,Y$7,IF(LARGE(AC$7:AC$10,3)=AC$8,Y$8,IF(LARGE(AC$7:AC$10,3)=AC$9,Y$9,IF(LARGE(AC$7:AC$10,3)=AC$10,Y$10)))))))))</f>
        <v/>
      </c>
      <c r="Z14" s="434"/>
      <c r="AA14" s="434"/>
      <c r="AB14" s="434"/>
      <c r="AC14" s="434"/>
      <c r="AD14" s="12"/>
      <c r="AE14" s="113"/>
      <c r="AG14" s="109">
        <f>$Q$16</f>
        <v>5</v>
      </c>
      <c r="AH14" s="161"/>
      <c r="AI14" s="109">
        <f>$Q$24</f>
        <v>21</v>
      </c>
      <c r="AJ14" s="161"/>
      <c r="AK14" s="130">
        <f>$W$56</f>
        <v>36</v>
      </c>
      <c r="AL14" s="163"/>
      <c r="AN14" s="182">
        <f>IF($C22="","",$C22)</f>
        <v>10</v>
      </c>
      <c r="AO14" s="171" t="str">
        <f t="shared" si="1"/>
        <v>Grupo A</v>
      </c>
      <c r="AP14" s="367" t="str">
        <f>IF($D$23="","",$D$23)</f>
        <v>F Monteiro/B Campos (Norte)</v>
      </c>
      <c r="AQ14" s="368" t="str">
        <f t="shared" si="0"/>
        <v>Grupo A</v>
      </c>
      <c r="AR14" s="368" t="str">
        <f t="shared" si="0"/>
        <v>Grupo A</v>
      </c>
      <c r="AS14" s="369" t="str">
        <f t="shared" si="0"/>
        <v>Grupo A</v>
      </c>
      <c r="AT14" s="183" t="str">
        <f>IF(COUNT($F$22:$F$23)&lt;2,"",IF($F$22&lt;$F$23,"V",IF($F$22&gt;$F$23,"D","Empate??")))</f>
        <v/>
      </c>
      <c r="AU14" s="184" t="str">
        <f>IF(COUNT($F$22:$F$23)&lt;2,"",$F$23)</f>
        <v/>
      </c>
      <c r="AV14" s="185" t="str">
        <f>IF(COUNT($F$22:$F$23)&lt;2,"",$F$22)</f>
        <v/>
      </c>
      <c r="AW14" s="186" t="str">
        <f t="shared" si="3"/>
        <v/>
      </c>
      <c r="AX14" s="185" t="str">
        <f>IF(COUNT($F$22:$F$23)&lt;2,"",SUM($G$23:$I$23))</f>
        <v/>
      </c>
      <c r="AY14" s="187" t="str">
        <f>IF(COUNT($F$22:$F$23)&lt;2,"",SUM($G$22:$I$22))</f>
        <v/>
      </c>
      <c r="AZ14" s="188" t="str">
        <f t="shared" si="2"/>
        <v/>
      </c>
    </row>
    <row r="15" spans="2:72" ht="19.5" customHeight="1" thickBot="1">
      <c r="B15" s="126"/>
      <c r="C15" s="17" t="s">
        <v>15</v>
      </c>
      <c r="D15" s="430" t="str">
        <f>IF(COUNTIF(H$7:H$10,"")&gt;=1,"",IF(COUNTIF(H$7:H$10,1)=3,"empate entre 2º, 3º e 4º",IF(COUNTIF(H$7:H$10,1)=2,"empate entre 3º e 4º",IF(LARGE(H$7:H$10,4)=H$7,D$7,IF(LARGE(H$7:H$10,4)=H$8,D$8,IF(LARGE(H$7:H$10,4)=H$9,D$9,IF(LARGE(H$7:H$10,4)=H$10,D$10)))))))</f>
        <v/>
      </c>
      <c r="E15" s="430"/>
      <c r="F15" s="430"/>
      <c r="G15" s="430"/>
      <c r="H15" s="430"/>
      <c r="I15" s="18"/>
      <c r="J15" s="19" t="s">
        <v>15</v>
      </c>
      <c r="K15" s="430" t="str">
        <f>IF(COUNTIF(O$7:O$10,"")&gt;=1,"",IF(COUNTIF(O$7:O$10,1)=3,"empate entre 2º, 3º e 4º",IF(COUNTIF(O$7:O$10,1)=2,"empate entre 3º e 4º",IF(LARGE(O$7:O$10,4)=O$7,K$7,IF(LARGE(O$7:O$10,4)=O$8,K$8,IF(LARGE(O$7:O$10,4)=O$9,K$9,IF(LARGE(O$7:O$10,4)=O$10,K$10)))))))</f>
        <v/>
      </c>
      <c r="L15" s="430"/>
      <c r="M15" s="430"/>
      <c r="N15" s="430"/>
      <c r="O15" s="430"/>
      <c r="P15" s="20"/>
      <c r="Q15" s="17" t="s">
        <v>15</v>
      </c>
      <c r="R15" s="430" t="str">
        <f>IF(COUNTIF(V$7:V$10,"")&gt;=1,"",IF(COUNTIF(V$7:V$10,1)=3,"empate entre 2º, 3º e 4º",IF(COUNTIF(V$7:V$10,1)=2,"empate entre 3º e 4º",IF(LARGE(V$7:V$10,4)=V$7,R$7,IF(LARGE(V$7:V$10,4)=V$8,R$8,IF(LARGE(V$7:V$10,4)=V$9,R$9,IF(LARGE(V$7:V$10,4)=V$10,R$10)))))))</f>
        <v/>
      </c>
      <c r="S15" s="430"/>
      <c r="T15" s="430"/>
      <c r="U15" s="430"/>
      <c r="V15" s="430"/>
      <c r="W15" s="18"/>
      <c r="X15" s="17" t="s">
        <v>15</v>
      </c>
      <c r="Y15" s="430" t="str">
        <f>IF(COUNTIF(AC$7:AC$10,"")&gt;=1,"",IF(COUNTIF(AC$7:AC$10,1)=3,"empate entre 2º, 3º e 4º",IF(COUNTIF(AC$7:AC$10,1)=2,"empate entre 3º e 4º",IF(LARGE(AC$7:AC$10,4)=AC$7,Y$7,IF(LARGE(AC$7:AC$10,4)=AC$8,Y$8,IF(LARGE(AC$7:AC$10,4)=AC$9,Y$9,IF(LARGE(AC$7:AC$10,4)=AC$10,Y$10)))))))</f>
        <v/>
      </c>
      <c r="Z15" s="430"/>
      <c r="AA15" s="430"/>
      <c r="AB15" s="430"/>
      <c r="AC15" s="430"/>
      <c r="AD15" s="18"/>
      <c r="AE15" s="113"/>
      <c r="AG15" s="109">
        <f>$Q$18</f>
        <v>6</v>
      </c>
      <c r="AH15" s="161"/>
      <c r="AI15" s="109">
        <f>$Q$26</f>
        <v>22</v>
      </c>
      <c r="AJ15" s="161"/>
      <c r="AK15" s="431" t="s">
        <v>230</v>
      </c>
      <c r="AL15" s="432"/>
      <c r="AN15" s="189">
        <f>IF($C24="","",$C24)</f>
        <v>17</v>
      </c>
      <c r="AO15" s="172" t="str">
        <f t="shared" si="1"/>
        <v>Grupo A</v>
      </c>
      <c r="AP15" s="364" t="str">
        <f>IF($D$24="","",$D$24)</f>
        <v>F Monteiro/B Campos (Norte)</v>
      </c>
      <c r="AQ15" s="365" t="str">
        <f t="shared" si="0"/>
        <v>Grupo A</v>
      </c>
      <c r="AR15" s="365" t="str">
        <f t="shared" si="0"/>
        <v>Grupo A</v>
      </c>
      <c r="AS15" s="366" t="str">
        <f t="shared" si="0"/>
        <v>Grupo A</v>
      </c>
      <c r="AT15" s="190" t="str">
        <f>IF(COUNT($F$24:$F$25)&lt;2,"",IF($F$24&gt;$F$25,"V",IF($F$24&lt;$F$25,"D","Empate??")))</f>
        <v/>
      </c>
      <c r="AU15" s="191" t="str">
        <f>IF(COUNT($F$24:$F$25)&lt;2,"",$F$24)</f>
        <v/>
      </c>
      <c r="AV15" s="192" t="str">
        <f>IF(COUNT($F$24:$F$25)&lt;2,"",$F$25)</f>
        <v/>
      </c>
      <c r="AW15" s="193" t="str">
        <f t="shared" si="3"/>
        <v/>
      </c>
      <c r="AX15" s="192" t="str">
        <f>IF(COUNT($F$24:$F$25)&lt;2,"",SUM($G$24:$I$24))</f>
        <v/>
      </c>
      <c r="AY15" s="194" t="str">
        <f>IF(COUNT($F$24:$F$25)&lt;2,"",SUM($G$25:$I$25))</f>
        <v/>
      </c>
      <c r="AZ15" s="195" t="str">
        <f t="shared" si="2"/>
        <v/>
      </c>
    </row>
    <row r="16" spans="2:72" ht="15" customHeight="1">
      <c r="B16" s="126"/>
      <c r="C16" s="428">
        <v>1</v>
      </c>
      <c r="D16" s="425" t="str">
        <f>IF(D7="","",D7)</f>
        <v>J Eduardo/G Gomes (Lisboa)</v>
      </c>
      <c r="E16" s="425"/>
      <c r="F16" s="21" t="str">
        <f>IF(COUNT(G16:I16)&lt;1,"",IF(SUM(IF(G16&gt;G17,1,0),IF(H16&gt;H17,1,0),IF(I16&gt;I17,1,0))&gt;2,"??",SUM(IF(G16&gt;G17,1,0),IF(H16&gt;H17,1,0),IF(I16&gt;I17,1,0))))</f>
        <v/>
      </c>
      <c r="G16" s="138"/>
      <c r="H16" s="139"/>
      <c r="I16" s="140"/>
      <c r="J16" s="423">
        <v>3</v>
      </c>
      <c r="K16" s="425" t="str">
        <f>IF(K7="","",K7)</f>
        <v>M Vieira/L Nunes (Centro)</v>
      </c>
      <c r="L16" s="425"/>
      <c r="M16" s="21" t="str">
        <f>IF(COUNT(N16:P16)&lt;1,"",IF(SUM(IF(N16&gt;N17,1,0),IF(O16&gt;O17,1,0),IF(P16&gt;P17,1,0))&gt;2,"??",SUM(IF(N16&gt;N17,1,0),IF(O16&gt;O17,1,0),IF(P16&gt;P17,1,0))))</f>
        <v/>
      </c>
      <c r="N16" s="138"/>
      <c r="O16" s="139"/>
      <c r="P16" s="140"/>
      <c r="Q16" s="423">
        <v>5</v>
      </c>
      <c r="R16" s="425" t="str">
        <f>IF(R7="","",R7)</f>
        <v>M Eiras/S Veiga (Norte)</v>
      </c>
      <c r="S16" s="425"/>
      <c r="T16" s="21" t="str">
        <f>IF(COUNT(U16:W16)&lt;1,"",IF(SUM(IF(U16&gt;U17,1,0),IF(V16&gt;V17,1,0),IF(W16&gt;W17,1,0))&gt;2,"??",SUM(IF(U16&gt;U17,1,0),IF(V16&gt;V17,1,0),IF(W16&gt;W17,1,0))))</f>
        <v/>
      </c>
      <c r="U16" s="138"/>
      <c r="V16" s="139"/>
      <c r="W16" s="140"/>
      <c r="X16" s="423">
        <v>7</v>
      </c>
      <c r="Y16" s="425" t="str">
        <f>IF(Y7="","",Y7)</f>
        <v>L Pala/F Silva (Centro)</v>
      </c>
      <c r="Z16" s="425"/>
      <c r="AA16" s="21" t="str">
        <f>IF(COUNT(AB16:AD16)&lt;1,"",IF(SUM(IF(AB16&gt;AB17,1,0),IF(AC16&gt;AC17,1,0),IF(AD16&gt;AD17,1,0))&gt;2,"??",SUM(IF(AB16&gt;AB17,1,0),IF(AC16&gt;AC17,1,0),IF(AD16&gt;AD17,1,0))))</f>
        <v/>
      </c>
      <c r="AB16" s="138"/>
      <c r="AC16" s="139"/>
      <c r="AD16" s="140"/>
      <c r="AE16" s="426" t="s">
        <v>44</v>
      </c>
      <c r="AG16" s="109">
        <f>$X$16</f>
        <v>7</v>
      </c>
      <c r="AH16" s="161"/>
      <c r="AI16" s="109">
        <f>$X$24</f>
        <v>23</v>
      </c>
      <c r="AJ16" s="161"/>
      <c r="AK16" s="159">
        <f>$O$70</f>
        <v>37</v>
      </c>
      <c r="AL16" s="160"/>
      <c r="AN16" s="182">
        <f>IF($C24="","",$C24)</f>
        <v>17</v>
      </c>
      <c r="AO16" s="171" t="str">
        <f t="shared" si="1"/>
        <v>Grupo A</v>
      </c>
      <c r="AP16" s="367" t="str">
        <f>IF($D$25="","",$D$25)</f>
        <v/>
      </c>
      <c r="AQ16" s="368" t="str">
        <f t="shared" si="0"/>
        <v>Grupo A</v>
      </c>
      <c r="AR16" s="368" t="str">
        <f t="shared" si="0"/>
        <v>Grupo A</v>
      </c>
      <c r="AS16" s="369" t="str">
        <f t="shared" si="0"/>
        <v>Grupo A</v>
      </c>
      <c r="AT16" s="183" t="str">
        <f>IF(COUNT($F$24:$F$25)&lt;2,"",IF($F$24&lt;$F$25,"V",IF($F$24&gt;$F$25,"D","Empate??")))</f>
        <v/>
      </c>
      <c r="AU16" s="184" t="str">
        <f>IF(COUNT($F$24:$F$25)&lt;2,"",$F$25)</f>
        <v/>
      </c>
      <c r="AV16" s="185" t="str">
        <f>IF(COUNT($F$24:$F$25)&lt;2,"",$F$24)</f>
        <v/>
      </c>
      <c r="AW16" s="186" t="str">
        <f t="shared" si="3"/>
        <v/>
      </c>
      <c r="AX16" s="185" t="str">
        <f>IF(COUNT($F$24:$F$25)&lt;2,"",SUM($G$25:$I$25))</f>
        <v/>
      </c>
      <c r="AY16" s="187" t="str">
        <f>IF(COUNT($F$24:$F$25)&lt;2,"",SUM($G$24:$I$24))</f>
        <v/>
      </c>
      <c r="AZ16" s="188" t="str">
        <f t="shared" si="2"/>
        <v/>
      </c>
    </row>
    <row r="17" spans="2:52" ht="15" customHeight="1">
      <c r="B17" s="126"/>
      <c r="C17" s="429"/>
      <c r="D17" s="398" t="str">
        <f>IF(D10="","",D10)</f>
        <v/>
      </c>
      <c r="E17" s="398"/>
      <c r="F17" s="22" t="str">
        <f>IF(COUNT(G17:I17)&lt;1,"",IF(SUM(IF(G17&gt;G16,1,0),IF(H17&gt;H16,1,0),IF(I17&gt;I16,1,0))&gt;2,"??",SUM(IF(G17&gt;G16,1,0),IF(H17&gt;H16,1,0),IF(I17&gt;I16,1,0))))</f>
        <v/>
      </c>
      <c r="G17" s="141"/>
      <c r="H17" s="142"/>
      <c r="I17" s="143"/>
      <c r="J17" s="424"/>
      <c r="K17" s="398" t="str">
        <f>IF(K10="","",K10)</f>
        <v/>
      </c>
      <c r="L17" s="398"/>
      <c r="M17" s="22" t="str">
        <f>IF(COUNT(N17:P17)&lt;1,"",IF(SUM(IF(N17&gt;N16,1,0),IF(O17&gt;O16,1,0),IF(P17&gt;P16,1,0))&gt;2,"??",SUM(IF(N17&gt;N16,1,0),IF(O17&gt;O16,1,0),IF(P17&gt;P16,1,0))))</f>
        <v/>
      </c>
      <c r="N17" s="141"/>
      <c r="O17" s="142"/>
      <c r="P17" s="143"/>
      <c r="Q17" s="424"/>
      <c r="R17" s="398" t="str">
        <f>IF(R10="","",R10)</f>
        <v/>
      </c>
      <c r="S17" s="398"/>
      <c r="T17" s="22" t="str">
        <f>IF(COUNT(U17:W17)&lt;1,"",IF(SUM(IF(U17&gt;U16,1,0),IF(V17&gt;V16,1,0),IF(W17&gt;W16,1,0))&gt;2,"??",SUM(IF(U17&gt;U16,1,0),IF(V17&gt;V16,1,0),IF(W17&gt;W16,1,0))))</f>
        <v/>
      </c>
      <c r="U17" s="141"/>
      <c r="V17" s="142"/>
      <c r="W17" s="143"/>
      <c r="X17" s="424"/>
      <c r="Y17" s="398" t="str">
        <f>IF(Y10="","",Y10)</f>
        <v/>
      </c>
      <c r="Z17" s="398"/>
      <c r="AA17" s="22" t="str">
        <f>IF(COUNT(AB17:AD17)&lt;1,"",IF(SUM(IF(AB17&gt;AB16,1,0),IF(AC17&gt;AC16,1,0),IF(AD17&gt;AD16,1,0))&gt;2,"??",SUM(IF(AB17&gt;AB16,1,0),IF(AC17&gt;AC16,1,0),IF(AD17&gt;AD16,1,0))))</f>
        <v/>
      </c>
      <c r="AB17" s="141"/>
      <c r="AC17" s="142"/>
      <c r="AD17" s="143"/>
      <c r="AE17" s="396"/>
      <c r="AG17" s="109">
        <f>$X$18</f>
        <v>8</v>
      </c>
      <c r="AH17" s="161"/>
      <c r="AI17" s="109">
        <f>$X$26</f>
        <v>24</v>
      </c>
      <c r="AJ17" s="161"/>
      <c r="AK17" s="109">
        <f>$O$78</f>
        <v>38</v>
      </c>
      <c r="AL17" s="161"/>
      <c r="AN17" s="189">
        <f>IF($C26="","",$C26)</f>
        <v>18</v>
      </c>
      <c r="AO17" s="172" t="str">
        <f t="shared" si="1"/>
        <v>Grupo A</v>
      </c>
      <c r="AP17" s="364" t="str">
        <f>IF($D$26="","",$D$26)</f>
        <v>L Pascoal/P Bezerra (Alentejo)</v>
      </c>
      <c r="AQ17" s="365" t="str">
        <f t="shared" si="0"/>
        <v>Grupo A</v>
      </c>
      <c r="AR17" s="365" t="str">
        <f t="shared" si="0"/>
        <v>Grupo A</v>
      </c>
      <c r="AS17" s="366" t="str">
        <f t="shared" si="0"/>
        <v>Grupo A</v>
      </c>
      <c r="AT17" s="190" t="str">
        <f>IF(COUNT($F$26:$F$27)&lt;2,"",IF($F$26&gt;$F$27,"V",IF($F$26&lt;$F$27,"D","Empate??")))</f>
        <v/>
      </c>
      <c r="AU17" s="191" t="str">
        <f>IF(COUNT($F$26:$F$27)&lt;2,"",$F$26)</f>
        <v/>
      </c>
      <c r="AV17" s="192" t="str">
        <f>IF(COUNT($F$26:$F$27)&lt;2,"",$F$27)</f>
        <v/>
      </c>
      <c r="AW17" s="193" t="str">
        <f t="shared" si="3"/>
        <v/>
      </c>
      <c r="AX17" s="192" t="str">
        <f>IF(COUNT($F$26:$F$27)&lt;2,"",SUM($G$26:$I$26))</f>
        <v/>
      </c>
      <c r="AY17" s="194" t="str">
        <f>IF(COUNT($F$26:$F$27)&lt;2,"",SUM($G$27:$I$27))</f>
        <v/>
      </c>
      <c r="AZ17" s="195" t="str">
        <f t="shared" si="2"/>
        <v/>
      </c>
    </row>
    <row r="18" spans="2:52" ht="15" customHeight="1" thickBot="1">
      <c r="B18" s="126"/>
      <c r="C18" s="373">
        <v>2</v>
      </c>
      <c r="D18" s="375" t="str">
        <f>IF(D8="","",D8)</f>
        <v>F Monteiro/B Campos (Norte)</v>
      </c>
      <c r="E18" s="375"/>
      <c r="F18" s="23" t="str">
        <f>IF(COUNT(G18:I18)&lt;1,"",IF(SUM(IF(G18&gt;G19,1,0),IF(H18&gt;H19,1,0),IF(I18&gt;I19,1,0))&gt;2,"??",SUM(IF(G18&gt;G19,1,0),IF(H18&gt;H19,1,0),IF(I18&gt;I19,1,0))))</f>
        <v/>
      </c>
      <c r="G18" s="144"/>
      <c r="H18" s="145"/>
      <c r="I18" s="146"/>
      <c r="J18" s="373">
        <v>4</v>
      </c>
      <c r="K18" s="375" t="str">
        <f>IF(K8="","",K8)</f>
        <v>I Medeiros/G Roberto (Lisboa)</v>
      </c>
      <c r="L18" s="375"/>
      <c r="M18" s="23" t="str">
        <f>IF(COUNT(N18:P18)&lt;1,"",IF(SUM(IF(N18&gt;N19,1,0),IF(O18&gt;O19,1,0),IF(P18&gt;P19,1,0))&gt;2,"??",SUM(IF(N18&gt;N19,1,0),IF(O18&gt;O19,1,0),IF(P18&gt;P19,1,0))))</f>
        <v/>
      </c>
      <c r="N18" s="144"/>
      <c r="O18" s="145"/>
      <c r="P18" s="146"/>
      <c r="Q18" s="373">
        <v>6</v>
      </c>
      <c r="R18" s="375" t="str">
        <f>IF(R8="","",R8)</f>
        <v>N Silva/F Silva (Algarve)</v>
      </c>
      <c r="S18" s="375"/>
      <c r="T18" s="23" t="str">
        <f>IF(COUNT(U18:W18)&lt;1,"",IF(SUM(IF(U18&gt;U19,1,0),IF(V18&gt;V19,1,0),IF(W18&gt;W19,1,0))&gt;2,"??",SUM(IF(U18&gt;U19,1,0),IF(V18&gt;V19,1,0),IF(W18&gt;W19,1,0))))</f>
        <v/>
      </c>
      <c r="U18" s="144"/>
      <c r="V18" s="145"/>
      <c r="W18" s="146"/>
      <c r="X18" s="373">
        <v>8</v>
      </c>
      <c r="Y18" s="375" t="str">
        <f>IF(Y8="","",Y8)</f>
        <v>M Maia/A Bacelar (Norte)</v>
      </c>
      <c r="Z18" s="375"/>
      <c r="AA18" s="23" t="str">
        <f>IF(COUNT(AB18:AD18)&lt;1,"",IF(SUM(IF(AB18&gt;AB19,1,0),IF(AC18&gt;AC19,1,0),IF(AD18&gt;AD19,1,0))&gt;2,"??",SUM(IF(AB18&gt;AB19,1,0),IF(AC18&gt;AC19,1,0),IF(AD18&gt;AD19,1,0))))</f>
        <v/>
      </c>
      <c r="AB18" s="144"/>
      <c r="AC18" s="145"/>
      <c r="AD18" s="146"/>
      <c r="AE18" s="396"/>
      <c r="AG18" s="131">
        <f>$C$20</f>
        <v>9</v>
      </c>
      <c r="AH18" s="162"/>
      <c r="AI18" s="131">
        <f>$H$31</f>
        <v>25</v>
      </c>
      <c r="AJ18" s="162"/>
      <c r="AK18" s="109">
        <f>$V$74</f>
        <v>39</v>
      </c>
      <c r="AL18" s="161"/>
      <c r="AN18" s="196">
        <f>IF($C26="","",$C26)</f>
        <v>18</v>
      </c>
      <c r="AO18" s="175" t="str">
        <f t="shared" si="1"/>
        <v>Grupo A</v>
      </c>
      <c r="AP18" s="358" t="str">
        <f>IF($D$27="","",$D$27)</f>
        <v>J Eduardo/G Gomes (Lisboa)</v>
      </c>
      <c r="AQ18" s="359" t="str">
        <f t="shared" si="0"/>
        <v>Grupo A</v>
      </c>
      <c r="AR18" s="359" t="str">
        <f t="shared" si="0"/>
        <v>Grupo A</v>
      </c>
      <c r="AS18" s="360" t="str">
        <f t="shared" si="0"/>
        <v>Grupo A</v>
      </c>
      <c r="AT18" s="176" t="str">
        <f>IF(COUNT($F$26:$F$27)&lt;2,"",IF($F$26&lt;$F$27,"V",IF($F$26&gt;$F$27,"D","Empate??")))</f>
        <v/>
      </c>
      <c r="AU18" s="177" t="str">
        <f>IF(COUNT($F$26:$F$27)&lt;2,"",$F$27)</f>
        <v/>
      </c>
      <c r="AV18" s="178" t="str">
        <f>IF(COUNT($F$26:$F$27)&lt;2,"",$F$26)</f>
        <v/>
      </c>
      <c r="AW18" s="179" t="str">
        <f t="shared" si="3"/>
        <v/>
      </c>
      <c r="AX18" s="178" t="str">
        <f>IF(COUNT($F$26:$F$27)&lt;2,"",SUM($G$27:$I$27))</f>
        <v/>
      </c>
      <c r="AY18" s="180" t="str">
        <f>IF(COUNT($F$26:$F$27)&lt;2,"",SUM($G$26:$I$26))</f>
        <v/>
      </c>
      <c r="AZ18" s="181" t="str">
        <f t="shared" si="2"/>
        <v/>
      </c>
    </row>
    <row r="19" spans="2:52" ht="15" customHeight="1" thickBot="1">
      <c r="B19" s="126"/>
      <c r="C19" s="417"/>
      <c r="D19" s="416" t="str">
        <f>IF(D9="","",D9)</f>
        <v>L Pascoal/P Bezerra (Alentejo)</v>
      </c>
      <c r="E19" s="416"/>
      <c r="F19" s="24" t="str">
        <f>IF(COUNT(G19:I19)&lt;1,"",IF(SUM(IF(G19&gt;G18,1,0),IF(H19&gt;H18,1,0),IF(I19&gt;I18,1,0))&gt;2,"??",SUM(IF(G19&gt;G18,1,0),IF(H19&gt;H18,1,0),IF(I19&gt;I18,1,0))))</f>
        <v/>
      </c>
      <c r="G19" s="147"/>
      <c r="H19" s="148"/>
      <c r="I19" s="149"/>
      <c r="J19" s="417"/>
      <c r="K19" s="416" t="str">
        <f>IF(K9="","",K9)</f>
        <v>A Ferreira/J Lopes (Norte)</v>
      </c>
      <c r="L19" s="416"/>
      <c r="M19" s="24" t="str">
        <f>IF(COUNT(N19:P19)&lt;1,"",IF(SUM(IF(N19&gt;N18,1,0),IF(O19&gt;O18,1,0),IF(P19&gt;P18,1,0))&gt;2,"??",SUM(IF(N19&gt;N18,1,0),IF(O19&gt;O18,1,0),IF(P19&gt;P18,1,0))))</f>
        <v/>
      </c>
      <c r="N19" s="147"/>
      <c r="O19" s="148"/>
      <c r="P19" s="149"/>
      <c r="Q19" s="417"/>
      <c r="R19" s="416" t="str">
        <f>IF(R9="","",R9)</f>
        <v>M Henriques/F Seita (Lisboa)</v>
      </c>
      <c r="S19" s="416"/>
      <c r="T19" s="24" t="str">
        <f>IF(COUNT(U19:W19)&lt;1,"",IF(SUM(IF(U19&gt;U18,1,0),IF(V19&gt;V18,1,0),IF(W19&gt;W18,1,0))&gt;2,"??",SUM(IF(U19&gt;U18,1,0),IF(V19&gt;V18,1,0),IF(W19&gt;W18,1,0))))</f>
        <v/>
      </c>
      <c r="U19" s="147"/>
      <c r="V19" s="148"/>
      <c r="W19" s="149"/>
      <c r="X19" s="417"/>
      <c r="Y19" s="416" t="str">
        <f>IF(Y9="","",Y9)</f>
        <v/>
      </c>
      <c r="Z19" s="416"/>
      <c r="AA19" s="24" t="str">
        <f>IF(COUNT(AB19:AD19)&lt;1,"",IF(SUM(IF(AB19&gt;AB18,1,0),IF(AC19&gt;AC18,1,0),IF(AD19&gt;AD18,1,0))&gt;2,"??",SUM(IF(AB19&gt;AB18,1,0),IF(AC19&gt;AC18,1,0),IF(AD19&gt;AD18,1,0))))</f>
        <v/>
      </c>
      <c r="AB19" s="147"/>
      <c r="AC19" s="148"/>
      <c r="AD19" s="149"/>
      <c r="AE19" s="427"/>
      <c r="AG19" s="109">
        <f>$C$22</f>
        <v>10</v>
      </c>
      <c r="AH19" s="161"/>
      <c r="AI19" s="109">
        <f>$H$35</f>
        <v>26</v>
      </c>
      <c r="AJ19" s="161"/>
      <c r="AK19" s="130">
        <f>$W$74</f>
        <v>40</v>
      </c>
      <c r="AL19" s="163"/>
      <c r="AN19" s="197">
        <f>IF($J16="","",$J16)</f>
        <v>3</v>
      </c>
      <c r="AO19" s="198" t="str">
        <f>IF($J$5="","",$J$5)</f>
        <v>Grupo B</v>
      </c>
      <c r="AP19" s="361" t="str">
        <f>IF($K$16="","",$K$16)</f>
        <v>M Vieira/L Nunes (Centro)</v>
      </c>
      <c r="AQ19" s="362" t="str">
        <f t="shared" si="0"/>
        <v>Grupo A</v>
      </c>
      <c r="AR19" s="362" t="str">
        <f t="shared" si="0"/>
        <v>Grupo A</v>
      </c>
      <c r="AS19" s="363" t="str">
        <f t="shared" si="0"/>
        <v>Grupo A</v>
      </c>
      <c r="AT19" s="199" t="str">
        <f>IF(COUNT($M$16:$M$17)&lt;2,"",IF($M$16&gt;$M$17,"V",IF($M$16&lt;$M$17,"D","Empate??")))</f>
        <v/>
      </c>
      <c r="AU19" s="200" t="str">
        <f>IF(COUNT($M$16:$M$17)&lt;2,"",$M$16)</f>
        <v/>
      </c>
      <c r="AV19" s="201" t="str">
        <f>IF(COUNT($M$16:$M$17)&lt;2,"",$M$17)</f>
        <v/>
      </c>
      <c r="AW19" s="202" t="str">
        <f t="shared" si="3"/>
        <v/>
      </c>
      <c r="AX19" s="201" t="str">
        <f>IF(COUNT($M$16:$M$17)&lt;2,"",SUM($N$16:$P$16))</f>
        <v/>
      </c>
      <c r="AY19" s="203" t="str">
        <f>IF(COUNT($M$16:$M$17)&lt;2,"",SUM($N$17:$P$17))</f>
        <v/>
      </c>
      <c r="AZ19" s="204" t="str">
        <f t="shared" si="2"/>
        <v/>
      </c>
    </row>
    <row r="20" spans="2:52" ht="15" customHeight="1" thickTop="1" thickBot="1">
      <c r="B20" s="126"/>
      <c r="C20" s="413">
        <v>9</v>
      </c>
      <c r="D20" s="415" t="str">
        <f>IF(D10="","",D10)</f>
        <v/>
      </c>
      <c r="E20" s="415"/>
      <c r="F20" s="25" t="str">
        <f>IF(COUNT(G20:I20)&lt;1,"",IF(SUM(IF(G20&gt;G21,1,0),IF(H20&gt;H21,1,0),IF(I20&gt;I21,1,0))&gt;2,"??",SUM(IF(G20&gt;G21,1,0),IF(H20&gt;H21,1,0),IF(I20&gt;I21,1,0))))</f>
        <v/>
      </c>
      <c r="G20" s="150"/>
      <c r="H20" s="151"/>
      <c r="I20" s="152"/>
      <c r="J20" s="413">
        <v>11</v>
      </c>
      <c r="K20" s="415" t="str">
        <f>IF(K10="","",K10)</f>
        <v/>
      </c>
      <c r="L20" s="415"/>
      <c r="M20" s="25" t="str">
        <f>IF(COUNT(N20:P20)&lt;1,"",IF(SUM(IF(N20&gt;N21,1,0),IF(O20&gt;O21,1,0),IF(P20&gt;P21,1,0))&gt;2,"??",SUM(IF(N20&gt;N21,1,0),IF(O20&gt;O21,1,0),IF(P20&gt;P21,1,0))))</f>
        <v/>
      </c>
      <c r="N20" s="150"/>
      <c r="O20" s="151"/>
      <c r="P20" s="152"/>
      <c r="Q20" s="413">
        <v>13</v>
      </c>
      <c r="R20" s="415" t="str">
        <f>IF(R10="","",R10)</f>
        <v/>
      </c>
      <c r="S20" s="415"/>
      <c r="T20" s="25" t="str">
        <f>IF(COUNT(U20:W20)&lt;1,"",IF(SUM(IF(U20&gt;U21,1,0),IF(V20&gt;V21,1,0),IF(W20&gt;W21,1,0))&gt;2,"??",SUM(IF(U20&gt;U21,1,0),IF(V20&gt;V21,1,0),IF(W20&gt;W21,1,0))))</f>
        <v/>
      </c>
      <c r="U20" s="150"/>
      <c r="V20" s="151"/>
      <c r="W20" s="152"/>
      <c r="X20" s="413">
        <v>15</v>
      </c>
      <c r="Y20" s="415" t="str">
        <f>IF(Y10="","",Y10)</f>
        <v/>
      </c>
      <c r="Z20" s="415"/>
      <c r="AA20" s="25" t="str">
        <f>IF(COUNT(AB20:AD20)&lt;1,"",IF(SUM(IF(AB20&gt;AB21,1,0),IF(AC20&gt;AC21,1,0),IF(AD20&gt;AD21,1,0))&gt;2,"??",SUM(IF(AB20&gt;AB21,1,0),IF(AC20&gt;AC21,1,0),IF(AD20&gt;AD21,1,0))))</f>
        <v/>
      </c>
      <c r="AB20" s="150"/>
      <c r="AC20" s="151"/>
      <c r="AD20" s="152"/>
      <c r="AE20" s="418" t="s">
        <v>45</v>
      </c>
      <c r="AG20" s="109">
        <f>$J$20</f>
        <v>11</v>
      </c>
      <c r="AH20" s="161"/>
      <c r="AI20" s="109">
        <f>$H$39</f>
        <v>27</v>
      </c>
      <c r="AJ20" s="161"/>
      <c r="AK20" s="421" t="s">
        <v>236</v>
      </c>
      <c r="AL20" s="422"/>
      <c r="AN20" s="205">
        <f>IF($J16="","",$J16)</f>
        <v>3</v>
      </c>
      <c r="AO20" s="206" t="str">
        <f t="shared" ref="AO20:AO30" si="4">IF($J$5="","",$J$5)</f>
        <v>Grupo B</v>
      </c>
      <c r="AP20" s="346" t="str">
        <f>IF($K$17="","",$K$17)</f>
        <v/>
      </c>
      <c r="AQ20" s="347" t="str">
        <f t="shared" si="0"/>
        <v>Grupo A</v>
      </c>
      <c r="AR20" s="347" t="str">
        <f t="shared" si="0"/>
        <v>Grupo A</v>
      </c>
      <c r="AS20" s="348" t="str">
        <f t="shared" si="0"/>
        <v>Grupo A</v>
      </c>
      <c r="AT20" s="207" t="str">
        <f>IF(COUNT($M$16:$M$17)&lt;2,"",IF($M$16&lt;$M$17,"V",IF($M$16&gt;$M$17,"D","Empate??")))</f>
        <v/>
      </c>
      <c r="AU20" s="208" t="str">
        <f>IF(COUNT($M$16:$M$17)&lt;2,"",$M$17)</f>
        <v/>
      </c>
      <c r="AV20" s="209" t="str">
        <f>IF(COUNT($M$16:$M$17)&lt;2,"",$M$16)</f>
        <v/>
      </c>
      <c r="AW20" s="210" t="str">
        <f t="shared" si="3"/>
        <v/>
      </c>
      <c r="AX20" s="209" t="str">
        <f>IF(COUNT($M$16:$M$17)&lt;2,"",SUM($N$17:$P$17))</f>
        <v/>
      </c>
      <c r="AY20" s="211" t="str">
        <f>IF(COUNT($M$16:$M$17)&lt;2,"",SUM($N$16:$P$16))</f>
        <v/>
      </c>
      <c r="AZ20" s="212" t="str">
        <f t="shared" si="2"/>
        <v/>
      </c>
    </row>
    <row r="21" spans="2:52" ht="15" customHeight="1">
      <c r="B21" s="126"/>
      <c r="C21" s="414"/>
      <c r="D21" s="409" t="str">
        <f>IF(D9="","",D9)</f>
        <v>L Pascoal/P Bezerra (Alentejo)</v>
      </c>
      <c r="E21" s="409"/>
      <c r="F21" s="26" t="str">
        <f>IF(COUNT(G21:I21)&lt;1,"",IF(SUM(IF(G21&gt;G20,1,0),IF(H21&gt;H20,1,0),IF(I21&gt;I20,1,0))&gt;2,"??",SUM(IF(G21&gt;G20,1,0),IF(H21&gt;H20,1,0),IF(I21&gt;I20,1,0))))</f>
        <v/>
      </c>
      <c r="G21" s="141"/>
      <c r="H21" s="142"/>
      <c r="I21" s="143"/>
      <c r="J21" s="414"/>
      <c r="K21" s="409" t="str">
        <f>IF(K9="","",K9)</f>
        <v>A Ferreira/J Lopes (Norte)</v>
      </c>
      <c r="L21" s="409"/>
      <c r="M21" s="26" t="str">
        <f>IF(COUNT(N21:P21)&lt;1,"",IF(SUM(IF(N21&gt;N20,1,0),IF(O21&gt;O20,1,0),IF(P21&gt;P20,1,0))&gt;2,"??",SUM(IF(N21&gt;N20,1,0),IF(O21&gt;O20,1,0),IF(P21&gt;P20,1,0))))</f>
        <v/>
      </c>
      <c r="N21" s="141"/>
      <c r="O21" s="142"/>
      <c r="P21" s="143"/>
      <c r="Q21" s="414"/>
      <c r="R21" s="409" t="str">
        <f>IF(R9="","",R9)</f>
        <v>M Henriques/F Seita (Lisboa)</v>
      </c>
      <c r="S21" s="409"/>
      <c r="T21" s="26" t="str">
        <f>IF(COUNT(U21:W21)&lt;1,"",IF(SUM(IF(U21&gt;U20,1,0),IF(V21&gt;V20,1,0),IF(W21&gt;W20,1,0))&gt;2,"??",SUM(IF(U21&gt;U20,1,0),IF(V21&gt;V20,1,0),IF(W21&gt;W20,1,0))))</f>
        <v/>
      </c>
      <c r="U21" s="141"/>
      <c r="V21" s="142"/>
      <c r="W21" s="143"/>
      <c r="X21" s="414"/>
      <c r="Y21" s="409" t="str">
        <f>IF(Y9="","",Y9)</f>
        <v/>
      </c>
      <c r="Z21" s="409"/>
      <c r="AA21" s="26" t="str">
        <f>IF(COUNT(AB21:AD21)&lt;1,"",IF(SUM(IF(AB21&gt;AB20,1,0),IF(AC21&gt;AC20,1,0),IF(AD21&gt;AD20,1,0))&gt;2,"??",SUM(IF(AB21&gt;AB20,1,0),IF(AC21&gt;AC20,1,0),IF(AD21&gt;AD20,1,0))))</f>
        <v/>
      </c>
      <c r="AB21" s="141"/>
      <c r="AC21" s="142"/>
      <c r="AD21" s="143"/>
      <c r="AE21" s="419"/>
      <c r="AG21" s="109">
        <f>$J$22</f>
        <v>12</v>
      </c>
      <c r="AH21" s="161"/>
      <c r="AI21" s="109">
        <f>$H$43</f>
        <v>28</v>
      </c>
      <c r="AJ21" s="161"/>
      <c r="AK21" s="159">
        <f>$O$88</f>
        <v>41</v>
      </c>
      <c r="AL21" s="160"/>
      <c r="AN21" s="213">
        <f>IF($J18="","",$J18)</f>
        <v>4</v>
      </c>
      <c r="AO21" s="214" t="str">
        <f t="shared" si="4"/>
        <v>Grupo B</v>
      </c>
      <c r="AP21" s="349" t="str">
        <f>IF($K$18="","",$K$18)</f>
        <v>I Medeiros/G Roberto (Lisboa)</v>
      </c>
      <c r="AQ21" s="350" t="str">
        <f t="shared" si="0"/>
        <v>Grupo A</v>
      </c>
      <c r="AR21" s="350" t="str">
        <f t="shared" si="0"/>
        <v>Grupo A</v>
      </c>
      <c r="AS21" s="351" t="str">
        <f t="shared" si="0"/>
        <v>Grupo A</v>
      </c>
      <c r="AT21" s="215" t="str">
        <f>IF(COUNT($M$18:$M$19)&lt;2,"",IF($M$18&gt;$M$19,"V",IF($M$18&lt;$M$19,"D","Empate??")))</f>
        <v/>
      </c>
      <c r="AU21" s="216" t="str">
        <f>IF(COUNT($M$18:$M$19)&lt;2,"",$M$18)</f>
        <v/>
      </c>
      <c r="AV21" s="217" t="str">
        <f>IF(COUNT($M$18:$M$19)&lt;2,"",$M$19)</f>
        <v/>
      </c>
      <c r="AW21" s="218" t="str">
        <f t="shared" si="3"/>
        <v/>
      </c>
      <c r="AX21" s="217" t="str">
        <f>IF(COUNT($M$18:$M$19)&lt;2,"",SUM($N$18:$P$18))</f>
        <v/>
      </c>
      <c r="AY21" s="219" t="str">
        <f>IF(COUNT($M$18:$M$19)&lt;2,"",SUM($N$19:$P$19))</f>
        <v/>
      </c>
      <c r="AZ21" s="220" t="str">
        <f t="shared" si="2"/>
        <v/>
      </c>
    </row>
    <row r="22" spans="2:52" ht="15" customHeight="1">
      <c r="B22" s="126"/>
      <c r="C22" s="410">
        <v>10</v>
      </c>
      <c r="D22" s="391" t="str">
        <f>IF(D7="","",D7)</f>
        <v>J Eduardo/G Gomes (Lisboa)</v>
      </c>
      <c r="E22" s="391"/>
      <c r="F22" s="27" t="str">
        <f>IF(COUNT(G22:I22)&lt;1,"",IF(SUM(IF(G22&gt;G23,1,0),IF(H22&gt;H23,1,0),IF(I22&gt;I23,1,0))&gt;2,"??",SUM(IF(G22&gt;G23,1,0),IF(H22&gt;H23,1,0),IF(I22&gt;I23,1,0))))</f>
        <v/>
      </c>
      <c r="G22" s="144"/>
      <c r="H22" s="145"/>
      <c r="I22" s="146"/>
      <c r="J22" s="410">
        <v>12</v>
      </c>
      <c r="K22" s="391" t="str">
        <f>IF(K7="","",K7)</f>
        <v>M Vieira/L Nunes (Centro)</v>
      </c>
      <c r="L22" s="391"/>
      <c r="M22" s="27" t="str">
        <f>IF(COUNT(N22:P22)&lt;1,"",IF(SUM(IF(N22&gt;N23,1,0),IF(O22&gt;O23,1,0),IF(P22&gt;P23,1,0))&gt;2,"??",SUM(IF(N22&gt;N23,1,0),IF(O22&gt;O23,1,0),IF(P22&gt;P23,1,0))))</f>
        <v/>
      </c>
      <c r="N22" s="144"/>
      <c r="O22" s="145"/>
      <c r="P22" s="146"/>
      <c r="Q22" s="410">
        <v>14</v>
      </c>
      <c r="R22" s="391" t="str">
        <f>IF(R7="","",R7)</f>
        <v>M Eiras/S Veiga (Norte)</v>
      </c>
      <c r="S22" s="391"/>
      <c r="T22" s="27" t="str">
        <f>IF(COUNT(U22:W22)&lt;1,"",IF(SUM(IF(U22&gt;U23,1,0),IF(V22&gt;V23,1,0),IF(W22&gt;W23,1,0))&gt;2,"??",SUM(IF(U22&gt;U23,1,0),IF(V22&gt;V23,1,0),IF(W22&gt;W23,1,0))))</f>
        <v/>
      </c>
      <c r="U22" s="144"/>
      <c r="V22" s="145"/>
      <c r="W22" s="146"/>
      <c r="X22" s="410">
        <v>16</v>
      </c>
      <c r="Y22" s="391" t="str">
        <f>IF(Y7="","",Y7)</f>
        <v>L Pala/F Silva (Centro)</v>
      </c>
      <c r="Z22" s="391"/>
      <c r="AA22" s="27" t="str">
        <f>IF(COUNT(AB22:AD22)&lt;1,"",IF(SUM(IF(AB22&gt;AB23,1,0),IF(AC22&gt;AC23,1,0),IF(AD22&gt;AD23,1,0))&gt;2,"??",SUM(IF(AB22&gt;AB23,1,0),IF(AC22&gt;AC23,1,0),IF(AD22&gt;AD23,1,0))))</f>
        <v/>
      </c>
      <c r="AB22" s="144"/>
      <c r="AC22" s="145"/>
      <c r="AD22" s="146"/>
      <c r="AE22" s="419"/>
      <c r="AG22" s="109">
        <f>$Q$20</f>
        <v>13</v>
      </c>
      <c r="AH22" s="161"/>
      <c r="AI22" s="109">
        <f>$O$33</f>
        <v>29</v>
      </c>
      <c r="AJ22" s="161"/>
      <c r="AK22" s="109">
        <f>$O$96</f>
        <v>42</v>
      </c>
      <c r="AL22" s="161"/>
      <c r="AN22" s="205">
        <f>IF($J18="","",$J18)</f>
        <v>4</v>
      </c>
      <c r="AO22" s="206" t="str">
        <f t="shared" si="4"/>
        <v>Grupo B</v>
      </c>
      <c r="AP22" s="346" t="str">
        <f>IF($K$19="","",$K$19)</f>
        <v>A Ferreira/J Lopes (Norte)</v>
      </c>
      <c r="AQ22" s="347" t="str">
        <f t="shared" si="0"/>
        <v>Grupo A</v>
      </c>
      <c r="AR22" s="347" t="str">
        <f t="shared" si="0"/>
        <v>Grupo A</v>
      </c>
      <c r="AS22" s="348" t="str">
        <f t="shared" si="0"/>
        <v>Grupo A</v>
      </c>
      <c r="AT22" s="207" t="str">
        <f>IF(COUNT($M$18:$M$19)&lt;2,"",IF($M$18&lt;$M$19,"V",IF($M$18&gt;$M$19,"D","Empate??")))</f>
        <v/>
      </c>
      <c r="AU22" s="208" t="str">
        <f>IF(COUNT($M$18:$M$19)&lt;2,"",$M$19)</f>
        <v/>
      </c>
      <c r="AV22" s="209" t="str">
        <f>IF(COUNT($M$18:$M$19)&lt;2,"",$M$18)</f>
        <v/>
      </c>
      <c r="AW22" s="210" t="str">
        <f t="shared" si="3"/>
        <v/>
      </c>
      <c r="AX22" s="209" t="str">
        <f>IF(COUNT($M$18:$M$19)&lt;2,"",SUM($N$19:$P$19))</f>
        <v/>
      </c>
      <c r="AY22" s="211" t="str">
        <f>IF(COUNT($M$18:$M$19)&lt;2,"",SUM($N$18:$P$18))</f>
        <v/>
      </c>
      <c r="AZ22" s="212" t="str">
        <f t="shared" si="2"/>
        <v/>
      </c>
    </row>
    <row r="23" spans="2:52" ht="15" customHeight="1" thickBot="1">
      <c r="B23" s="126"/>
      <c r="C23" s="411"/>
      <c r="D23" s="412" t="str">
        <f>IF(D8="","",D8)</f>
        <v>F Monteiro/B Campos (Norte)</v>
      </c>
      <c r="E23" s="412"/>
      <c r="F23" s="28" t="str">
        <f>IF(COUNT(G23:I23)&lt;1,"",IF(SUM(IF(G23&gt;G22,1,0),IF(H23&gt;H22,1,0),IF(I23&gt;I22,1,0))&gt;2,"??",SUM(IF(G23&gt;G22,1,0),IF(H23&gt;H22,1,0),IF(I23&gt;I22,1,0))))</f>
        <v/>
      </c>
      <c r="G23" s="153"/>
      <c r="H23" s="154"/>
      <c r="I23" s="155"/>
      <c r="J23" s="411"/>
      <c r="K23" s="412" t="str">
        <f>IF(K8="","",K8)</f>
        <v>I Medeiros/G Roberto (Lisboa)</v>
      </c>
      <c r="L23" s="412"/>
      <c r="M23" s="28" t="str">
        <f>IF(COUNT(N23:P23)&lt;1,"",IF(SUM(IF(N23&gt;N22,1,0),IF(O23&gt;O22,1,0),IF(P23&gt;P22,1,0))&gt;2,"??",SUM(IF(N23&gt;N22,1,0),IF(O23&gt;O22,1,0),IF(P23&gt;P22,1,0))))</f>
        <v/>
      </c>
      <c r="N23" s="153"/>
      <c r="O23" s="154"/>
      <c r="P23" s="155"/>
      <c r="Q23" s="411"/>
      <c r="R23" s="412" t="str">
        <f>IF(R8="","",R8)</f>
        <v>N Silva/F Silva (Algarve)</v>
      </c>
      <c r="S23" s="412"/>
      <c r="T23" s="28" t="str">
        <f>IF(COUNT(U23:W23)&lt;1,"",IF(SUM(IF(U23&gt;U22,1,0),IF(V23&gt;V22,1,0),IF(W23&gt;W22,1,0))&gt;2,"??",SUM(IF(U23&gt;U22,1,0),IF(V23&gt;V22,1,0),IF(W23&gt;W22,1,0))))</f>
        <v/>
      </c>
      <c r="U23" s="153"/>
      <c r="V23" s="154"/>
      <c r="W23" s="155"/>
      <c r="X23" s="411"/>
      <c r="Y23" s="412" t="str">
        <f>IF(Y8="","",Y8)</f>
        <v>M Maia/A Bacelar (Norte)</v>
      </c>
      <c r="Z23" s="412"/>
      <c r="AA23" s="28" t="str">
        <f>IF(COUNT(AB23:AD23)&lt;1,"",IF(SUM(IF(AB23&gt;AB22,1,0),IF(AC23&gt;AC22,1,0),IF(AD23&gt;AD22,1,0))&gt;2,"??",SUM(IF(AB23&gt;AB22,1,0),IF(AC23&gt;AC22,1,0),IF(AD23&gt;AD22,1,0))))</f>
        <v/>
      </c>
      <c r="AB23" s="153"/>
      <c r="AC23" s="154"/>
      <c r="AD23" s="155"/>
      <c r="AE23" s="420"/>
      <c r="AG23" s="109">
        <f>$Q$22</f>
        <v>14</v>
      </c>
      <c r="AH23" s="161"/>
      <c r="AI23" s="109">
        <f>$O$41</f>
        <v>30</v>
      </c>
      <c r="AJ23" s="161"/>
      <c r="AK23" s="109">
        <f>$V$92</f>
        <v>43</v>
      </c>
      <c r="AL23" s="161"/>
      <c r="AN23" s="221">
        <f>IF($J20="","",$J20)</f>
        <v>11</v>
      </c>
      <c r="AO23" s="222" t="str">
        <f t="shared" si="4"/>
        <v>Grupo B</v>
      </c>
      <c r="AP23" s="349" t="str">
        <f>IF($K$20="","",$K$20)</f>
        <v/>
      </c>
      <c r="AQ23" s="350" t="str">
        <f t="shared" ref="AQ23:AS38" si="5">IF($C$5="","",$C$5)</f>
        <v>Grupo A</v>
      </c>
      <c r="AR23" s="350" t="str">
        <f t="shared" si="5"/>
        <v>Grupo A</v>
      </c>
      <c r="AS23" s="351" t="str">
        <f t="shared" si="5"/>
        <v>Grupo A</v>
      </c>
      <c r="AT23" s="223" t="str">
        <f>IF(COUNT($M$20:$M$21)&lt;2,"",IF($M$20&gt;$M$21,"V",IF($M$20&lt;$M$21,"D","Empate??")))</f>
        <v/>
      </c>
      <c r="AU23" s="224" t="str">
        <f>IF(COUNT($M$20:$M$21)&lt;2,"",$M$20)</f>
        <v/>
      </c>
      <c r="AV23" s="225" t="str">
        <f>IF(COUNT($M$20:$M$21)&lt;2,"",$M$21)</f>
        <v/>
      </c>
      <c r="AW23" s="226" t="str">
        <f t="shared" si="3"/>
        <v/>
      </c>
      <c r="AX23" s="225" t="str">
        <f>IF(COUNT($M$20:$M$21)&lt;2,"",SUM($N$20:$P$20))</f>
        <v/>
      </c>
      <c r="AY23" s="227" t="str">
        <f>IF(COUNT($M$20:$M$21)&lt;2,"",SUM($N$21:$P$21))</f>
        <v/>
      </c>
      <c r="AZ23" s="228" t="str">
        <f t="shared" si="2"/>
        <v/>
      </c>
    </row>
    <row r="24" spans="2:52" ht="15" customHeight="1" thickTop="1" thickBot="1">
      <c r="B24" s="126"/>
      <c r="C24" s="392">
        <v>17</v>
      </c>
      <c r="D24" s="394" t="str">
        <f>IF(D8="","",D8)</f>
        <v>F Monteiro/B Campos (Norte)</v>
      </c>
      <c r="E24" s="394"/>
      <c r="F24" s="22" t="str">
        <f>IF(COUNT(G24:I24)&lt;1,"",IF(SUM(IF(G24&gt;G25,1,0),IF(H24&gt;H25,1,0),IF(I24&gt;I25,1,0))&gt;2,"??",SUM(IF(G24&gt;G25,1,0),IF(H24&gt;H25,1,0),IF(I24&gt;I25,1,0))))</f>
        <v/>
      </c>
      <c r="G24" s="141"/>
      <c r="H24" s="142"/>
      <c r="I24" s="143"/>
      <c r="J24" s="392">
        <v>19</v>
      </c>
      <c r="K24" s="394" t="str">
        <f>IF(K8="","",K8)</f>
        <v>I Medeiros/G Roberto (Lisboa)</v>
      </c>
      <c r="L24" s="394"/>
      <c r="M24" s="22" t="str">
        <f>IF(COUNT(N24:P24)&lt;1,"",IF(SUM(IF(N24&gt;N25,1,0),IF(O24&gt;O25,1,0),IF(P24&gt;P25,1,0))&gt;2,"??",SUM(IF(N24&gt;N25,1,0),IF(O24&gt;O25,1,0),IF(P24&gt;P25,1,0))))</f>
        <v/>
      </c>
      <c r="N24" s="141"/>
      <c r="O24" s="142"/>
      <c r="P24" s="143"/>
      <c r="Q24" s="392">
        <v>21</v>
      </c>
      <c r="R24" s="394" t="str">
        <f>IF(R8="","",R8)</f>
        <v>N Silva/F Silva (Algarve)</v>
      </c>
      <c r="S24" s="394"/>
      <c r="T24" s="22" t="str">
        <f>IF(COUNT(U24:W24)&lt;1,"",IF(SUM(IF(U24&gt;U25,1,0),IF(V24&gt;V25,1,0),IF(W24&gt;W25,1,0))&gt;2,"??",SUM(IF(U24&gt;U25,1,0),IF(V24&gt;V25,1,0),IF(W24&gt;W25,1,0))))</f>
        <v/>
      </c>
      <c r="U24" s="141"/>
      <c r="V24" s="142"/>
      <c r="W24" s="143"/>
      <c r="X24" s="392">
        <v>23</v>
      </c>
      <c r="Y24" s="394" t="str">
        <f>IF(Y8="","",Y8)</f>
        <v>M Maia/A Bacelar (Norte)</v>
      </c>
      <c r="Z24" s="394"/>
      <c r="AA24" s="22" t="str">
        <f>IF(COUNT(AB24:AD24)&lt;1,"",IF(SUM(IF(AB24&gt;AB25,1,0),IF(AC24&gt;AC25,1,0),IF(AD24&gt;AD25,1,0))&gt;2,"??",SUM(IF(AB24&gt;AB25,1,0),IF(AC24&gt;AC25,1,0),IF(AD24&gt;AD25,1,0))))</f>
        <v/>
      </c>
      <c r="AB24" s="141"/>
      <c r="AC24" s="142"/>
      <c r="AD24" s="143"/>
      <c r="AE24" s="395" t="s">
        <v>46</v>
      </c>
      <c r="AG24" s="109">
        <f>$X$20</f>
        <v>15</v>
      </c>
      <c r="AH24" s="161"/>
      <c r="AI24" s="109">
        <f>$V$37</f>
        <v>31</v>
      </c>
      <c r="AJ24" s="161"/>
      <c r="AK24" s="130">
        <f>$W$92</f>
        <v>44</v>
      </c>
      <c r="AL24" s="163"/>
      <c r="AN24" s="205">
        <f>IF($J20="","",$J20)</f>
        <v>11</v>
      </c>
      <c r="AO24" s="206" t="str">
        <f t="shared" si="4"/>
        <v>Grupo B</v>
      </c>
      <c r="AP24" s="346" t="str">
        <f>IF($K$21="","",$K$21)</f>
        <v>A Ferreira/J Lopes (Norte)</v>
      </c>
      <c r="AQ24" s="347" t="str">
        <f t="shared" si="5"/>
        <v>Grupo A</v>
      </c>
      <c r="AR24" s="347" t="str">
        <f t="shared" si="5"/>
        <v>Grupo A</v>
      </c>
      <c r="AS24" s="348" t="str">
        <f t="shared" si="5"/>
        <v>Grupo A</v>
      </c>
      <c r="AT24" s="207" t="str">
        <f>IF(COUNT($M$20:$M$21)&lt;2,"",IF($M$20&lt;$M$21,"V",IF($M$20&gt;$M$21,"D","Empate??")))</f>
        <v/>
      </c>
      <c r="AU24" s="208" t="str">
        <f>IF(COUNT($M$20:$M$21)&lt;2,"",$M$21)</f>
        <v/>
      </c>
      <c r="AV24" s="209" t="str">
        <f>IF(COUNT($M$20:$M$21)&lt;2,"",$M$20)</f>
        <v/>
      </c>
      <c r="AW24" s="210" t="str">
        <f t="shared" si="3"/>
        <v/>
      </c>
      <c r="AX24" s="209" t="str">
        <f>IF(COUNT($M$20:$M$21)&lt;2,"",SUM($N$21:$P$21))</f>
        <v/>
      </c>
      <c r="AY24" s="211" t="str">
        <f>IF(COUNT($M$20:$M$21)&lt;2,"",SUM($N$20:$P$20))</f>
        <v/>
      </c>
      <c r="AZ24" s="212" t="str">
        <f t="shared" si="2"/>
        <v/>
      </c>
    </row>
    <row r="25" spans="2:52" ht="15" customHeight="1" thickBot="1">
      <c r="B25" s="126"/>
      <c r="C25" s="393"/>
      <c r="D25" s="398" t="str">
        <f>IF(D10="","",D10)</f>
        <v/>
      </c>
      <c r="E25" s="398"/>
      <c r="F25" s="22" t="str">
        <f>IF(COUNT(G25:I25)&lt;1,"",IF(SUM(IF(G25&gt;G24,1,0),IF(H25&gt;H24,1,0),IF(I25&gt;I24,1,0))&gt;2,"??",SUM(IF(G25&gt;G24,1,0),IF(H25&gt;H24,1,0),IF(I25&gt;I24,1,0))))</f>
        <v/>
      </c>
      <c r="G25" s="141"/>
      <c r="H25" s="142"/>
      <c r="I25" s="143"/>
      <c r="J25" s="393"/>
      <c r="K25" s="398" t="str">
        <f>IF(K10="","",K10)</f>
        <v/>
      </c>
      <c r="L25" s="398"/>
      <c r="M25" s="22" t="str">
        <f>IF(COUNT(N25:P25)&lt;1,"",IF(SUM(IF(N25&gt;N24,1,0),IF(O25&gt;O24,1,0),IF(P25&gt;P24,1,0))&gt;2,"??",SUM(IF(N25&gt;N24,1,0),IF(O25&gt;O24,1,0),IF(P25&gt;P24,1,0))))</f>
        <v/>
      </c>
      <c r="N25" s="141"/>
      <c r="O25" s="142"/>
      <c r="P25" s="143"/>
      <c r="Q25" s="393"/>
      <c r="R25" s="398" t="str">
        <f>IF(R10="","",R10)</f>
        <v/>
      </c>
      <c r="S25" s="398"/>
      <c r="T25" s="22" t="str">
        <f>IF(COUNT(U25:W25)&lt;1,"",IF(SUM(IF(U25&gt;U24,1,0),IF(V25&gt;V24,1,0),IF(W25&gt;W24,1,0))&gt;2,"??",SUM(IF(U25&gt;U24,1,0),IF(V25&gt;V24,1,0),IF(W25&gt;W24,1,0))))</f>
        <v/>
      </c>
      <c r="U25" s="141"/>
      <c r="V25" s="142"/>
      <c r="W25" s="143"/>
      <c r="X25" s="393"/>
      <c r="Y25" s="398" t="str">
        <f>IF(Y10="","",Y10)</f>
        <v/>
      </c>
      <c r="Z25" s="398"/>
      <c r="AA25" s="22" t="str">
        <f>IF(COUNT(AB25:AD25)&lt;1,"",IF(SUM(IF(AB25&gt;AB24,1,0),IF(AC25&gt;AC24,1,0),IF(AD25&gt;AD24,1,0))&gt;2,"??",SUM(IF(AB25&gt;AB24,1,0),IF(AC25&gt;AC24,1,0),IF(AD25&gt;AD24,1,0))))</f>
        <v/>
      </c>
      <c r="AB25" s="141"/>
      <c r="AC25" s="142"/>
      <c r="AD25" s="143"/>
      <c r="AE25" s="396"/>
      <c r="AG25" s="130">
        <f>$X$22</f>
        <v>16</v>
      </c>
      <c r="AH25" s="163"/>
      <c r="AI25" s="130">
        <f>$W$37</f>
        <v>32</v>
      </c>
      <c r="AJ25" s="163"/>
      <c r="AK25" s="159"/>
      <c r="AL25" s="293"/>
      <c r="AN25" s="221">
        <f>IF($J22="","",$J22)</f>
        <v>12</v>
      </c>
      <c r="AO25" s="222" t="str">
        <f t="shared" si="4"/>
        <v>Grupo B</v>
      </c>
      <c r="AP25" s="349" t="str">
        <f>IF($K$22="","",$K$22)</f>
        <v>M Vieira/L Nunes (Centro)</v>
      </c>
      <c r="AQ25" s="350" t="str">
        <f t="shared" si="5"/>
        <v>Grupo A</v>
      </c>
      <c r="AR25" s="350" t="str">
        <f t="shared" si="5"/>
        <v>Grupo A</v>
      </c>
      <c r="AS25" s="351" t="str">
        <f t="shared" si="5"/>
        <v>Grupo A</v>
      </c>
      <c r="AT25" s="223" t="str">
        <f>IF(COUNT($M$22:$M$23)&lt;2,"",IF($M$22&gt;$M$23,"V",IF($M$22&lt;$M$23,"D","Empate??")))</f>
        <v/>
      </c>
      <c r="AU25" s="224" t="str">
        <f>IF(COUNT($M$22:$M$23)&lt;2,"",$M$22)</f>
        <v/>
      </c>
      <c r="AV25" s="225" t="str">
        <f>IF(COUNT($M$22:$M$23)&lt;2,"",$M$23)</f>
        <v/>
      </c>
      <c r="AW25" s="226" t="str">
        <f t="shared" si="3"/>
        <v/>
      </c>
      <c r="AX25" s="225" t="str">
        <f>IF(COUNT($M$22:$M$23)&lt;2,"",SUM($N$22:$P$22))</f>
        <v/>
      </c>
      <c r="AY25" s="227" t="str">
        <f>IF(COUNT($M$22:$M$23)&lt;2,"",SUM($N$23:$P$23))</f>
        <v/>
      </c>
      <c r="AZ25" s="228" t="str">
        <f t="shared" si="2"/>
        <v/>
      </c>
    </row>
    <row r="26" spans="2:52" ht="15" customHeight="1" thickBot="1">
      <c r="B26" s="126"/>
      <c r="C26" s="373">
        <v>18</v>
      </c>
      <c r="D26" s="375" t="str">
        <f>IF(D9="","",D9)</f>
        <v>L Pascoal/P Bezerra (Alentejo)</v>
      </c>
      <c r="E26" s="375"/>
      <c r="F26" s="23" t="str">
        <f>IF(COUNT(G26:I26)&lt;1,"",IF(SUM(IF(G26&gt;G27,1,0),IF(H26&gt;H27,1,0),IF(I26&gt;I27,1,0))&gt;2,"??",SUM(IF(G26&gt;G27,1,0),IF(H26&gt;H27,1,0),IF(I26&gt;I27,1,0))))</f>
        <v/>
      </c>
      <c r="G26" s="144"/>
      <c r="H26" s="145"/>
      <c r="I26" s="146"/>
      <c r="J26" s="373">
        <v>20</v>
      </c>
      <c r="K26" s="375" t="str">
        <f>IF(K9="","",K9)</f>
        <v>A Ferreira/J Lopes (Norte)</v>
      </c>
      <c r="L26" s="375"/>
      <c r="M26" s="23" t="str">
        <f>IF(COUNT(N26:P26)&lt;1,"",IF(SUM(IF(N26&gt;N27,1,0),IF(O26&gt;O27,1,0),IF(P26&gt;P27,1,0))&gt;2,"??",SUM(IF(N26&gt;N27,1,0),IF(O26&gt;O27,1,0),IF(P26&gt;P27,1,0))))</f>
        <v/>
      </c>
      <c r="N26" s="144"/>
      <c r="O26" s="145"/>
      <c r="P26" s="146"/>
      <c r="Q26" s="373">
        <v>22</v>
      </c>
      <c r="R26" s="375" t="str">
        <f>IF(R9="","",R9)</f>
        <v>M Henriques/F Seita (Lisboa)</v>
      </c>
      <c r="S26" s="375"/>
      <c r="T26" s="23" t="str">
        <f>IF(COUNT(U26:W26)&lt;1,"",IF(SUM(IF(U26&gt;U27,1,0),IF(V26&gt;V27,1,0),IF(W26&gt;W27,1,0))&gt;2,"??",SUM(IF(U26&gt;U27,1,0),IF(V26&gt;V27,1,0),IF(W26&gt;W27,1,0))))</f>
        <v/>
      </c>
      <c r="U26" s="144"/>
      <c r="V26" s="145"/>
      <c r="W26" s="146"/>
      <c r="X26" s="373">
        <v>24</v>
      </c>
      <c r="Y26" s="375" t="str">
        <f>IF(Y9="","",Y9)</f>
        <v/>
      </c>
      <c r="Z26" s="375"/>
      <c r="AA26" s="23" t="str">
        <f>IF(COUNT(AB26:AD26)&lt;1,"",IF(SUM(IF(AB26&gt;AB27,1,0),IF(AC26&gt;AC27,1,0),IF(AD26&gt;AD27,1,0))&gt;2,"??",SUM(IF(AB26&gt;AB27,1,0),IF(AC26&gt;AC27,1,0),IF(AD26&gt;AD27,1,0))))</f>
        <v/>
      </c>
      <c r="AB26" s="144"/>
      <c r="AC26" s="145"/>
      <c r="AD26" s="146"/>
      <c r="AE26" s="396"/>
      <c r="AG26" s="399" t="s">
        <v>237</v>
      </c>
      <c r="AH26" s="399"/>
      <c r="AI26" s="399" t="s">
        <v>238</v>
      </c>
      <c r="AJ26" s="399"/>
      <c r="AN26" s="205">
        <f>IF($J22="","",$J22)</f>
        <v>12</v>
      </c>
      <c r="AO26" s="206" t="str">
        <f t="shared" si="4"/>
        <v>Grupo B</v>
      </c>
      <c r="AP26" s="346" t="str">
        <f>IF($K$23="","",$K$23)</f>
        <v>I Medeiros/G Roberto (Lisboa)</v>
      </c>
      <c r="AQ26" s="347" t="str">
        <f t="shared" si="5"/>
        <v>Grupo A</v>
      </c>
      <c r="AR26" s="347" t="str">
        <f t="shared" si="5"/>
        <v>Grupo A</v>
      </c>
      <c r="AS26" s="348" t="str">
        <f t="shared" si="5"/>
        <v>Grupo A</v>
      </c>
      <c r="AT26" s="207" t="str">
        <f>IF(COUNT($M$22:$M$23)&lt;2,"",IF($M$22&lt;$M$23,"V",IF($M$22&gt;$M$23,"D","Empate??")))</f>
        <v/>
      </c>
      <c r="AU26" s="208" t="str">
        <f>IF(COUNT($M$22:$M$23)&lt;2,"",$M$23)</f>
        <v/>
      </c>
      <c r="AV26" s="209" t="str">
        <f>IF(COUNT($M$22:$M$23)&lt;2,"",$M$22)</f>
        <v/>
      </c>
      <c r="AW26" s="210" t="str">
        <f t="shared" si="3"/>
        <v/>
      </c>
      <c r="AX26" s="209" t="str">
        <f>IF(COUNT($M$22:$M$23)&lt;2,"",SUM($N$23:$P$23))</f>
        <v/>
      </c>
      <c r="AY26" s="211" t="str">
        <f>IF(COUNT($M$22:$M$23)&lt;2,"",SUM($N$22:$P$22))</f>
        <v/>
      </c>
      <c r="AZ26" s="212" t="str">
        <f t="shared" si="2"/>
        <v/>
      </c>
    </row>
    <row r="27" spans="2:52" ht="15" customHeight="1" thickBot="1">
      <c r="B27" s="126"/>
      <c r="C27" s="374"/>
      <c r="D27" s="400" t="str">
        <f>IF(D7="","",D7)</f>
        <v>J Eduardo/G Gomes (Lisboa)</v>
      </c>
      <c r="E27" s="400"/>
      <c r="F27" s="29" t="str">
        <f>IF(COUNT(G27:I27)&lt;1,"",IF(SUM(IF(G27&gt;G26,1,0),IF(H27&gt;H26,1,0),IF(I27&gt;I26,1,0))&gt;2,"??",SUM(IF(G27&gt;G26,1,0),IF(H27&gt;H26,1,0),IF(I27&gt;I26,1,0))))</f>
        <v/>
      </c>
      <c r="G27" s="156"/>
      <c r="H27" s="157"/>
      <c r="I27" s="158"/>
      <c r="J27" s="374"/>
      <c r="K27" s="400" t="str">
        <f>IF(K7="","",K7)</f>
        <v>M Vieira/L Nunes (Centro)</v>
      </c>
      <c r="L27" s="400"/>
      <c r="M27" s="29" t="str">
        <f>IF(COUNT(N27:P27)&lt;1,"",IF(SUM(IF(N27&gt;N26,1,0),IF(O27&gt;O26,1,0),IF(P27&gt;P26,1,0))&gt;2,"??",SUM(IF(N27&gt;N26,1,0),IF(O27&gt;O26,1,0),IF(P27&gt;P26,1,0))))</f>
        <v/>
      </c>
      <c r="N27" s="156"/>
      <c r="O27" s="157"/>
      <c r="P27" s="158"/>
      <c r="Q27" s="374"/>
      <c r="R27" s="400" t="str">
        <f>IF(R7="","",R7)</f>
        <v>M Eiras/S Veiga (Norte)</v>
      </c>
      <c r="S27" s="400"/>
      <c r="T27" s="29" t="str">
        <f>IF(COUNT(U27:W27)&lt;1,"",IF(SUM(IF(U27&gt;U26,1,0),IF(V27&gt;V26,1,0),IF(W27&gt;W26,1,0))&gt;2,"??",SUM(IF(U27&gt;U26,1,0),IF(V27&gt;V26,1,0),IF(W27&gt;W26,1,0))))</f>
        <v/>
      </c>
      <c r="U27" s="156"/>
      <c r="V27" s="157"/>
      <c r="W27" s="158"/>
      <c r="X27" s="374"/>
      <c r="Y27" s="400" t="str">
        <f>IF(Y7="","",Y7)</f>
        <v>L Pala/F Silva (Centro)</v>
      </c>
      <c r="Z27" s="400"/>
      <c r="AA27" s="29" t="str">
        <f>IF(COUNT(AB27:AD27)&lt;1,"",IF(SUM(IF(AB27&gt;AB26,1,0),IF(AC27&gt;AC26,1,0),IF(AD27&gt;AD26,1,0))&gt;2,"??",SUM(IF(AB27&gt;AB26,1,0),IF(AC27&gt;AC26,1,0),IF(AD27&gt;AD26,1,0))))</f>
        <v/>
      </c>
      <c r="AB27" s="156"/>
      <c r="AC27" s="157"/>
      <c r="AD27" s="158"/>
      <c r="AE27" s="397"/>
      <c r="AG27" s="401">
        <v>1</v>
      </c>
      <c r="AH27" s="402"/>
      <c r="AI27" s="405">
        <v>2</v>
      </c>
      <c r="AJ27" s="406"/>
      <c r="AN27" s="221">
        <f>IF($J24="","",$J24)</f>
        <v>19</v>
      </c>
      <c r="AO27" s="222" t="str">
        <f t="shared" si="4"/>
        <v>Grupo B</v>
      </c>
      <c r="AP27" s="349" t="str">
        <f>IF($K$24="","",$K$24)</f>
        <v>I Medeiros/G Roberto (Lisboa)</v>
      </c>
      <c r="AQ27" s="350" t="str">
        <f t="shared" si="5"/>
        <v>Grupo A</v>
      </c>
      <c r="AR27" s="350" t="str">
        <f t="shared" si="5"/>
        <v>Grupo A</v>
      </c>
      <c r="AS27" s="351" t="str">
        <f t="shared" si="5"/>
        <v>Grupo A</v>
      </c>
      <c r="AT27" s="223" t="str">
        <f>IF(COUNT($M$24:$M$25)&lt;2,"",IF($M$24&gt;$M$25,"V",IF($M$24&lt;$M$25,"D","Empate??")))</f>
        <v/>
      </c>
      <c r="AU27" s="224" t="str">
        <f>IF(COUNT($M$24:$M$25)&lt;2,"",$M$24)</f>
        <v/>
      </c>
      <c r="AV27" s="225" t="str">
        <f>IF(COUNT($M$24:$M$25)&lt;2,"",$M$25)</f>
        <v/>
      </c>
      <c r="AW27" s="226" t="str">
        <f t="shared" si="3"/>
        <v/>
      </c>
      <c r="AX27" s="225" t="str">
        <f>IF(COUNT($M$24:$M$25)&lt;2,"",SUM($N$24:$P$24))</f>
        <v/>
      </c>
      <c r="AY27" s="227" t="str">
        <f>IF(COUNT($M$24:$M$25)&lt;2,"",SUM($N$25:$P$25))</f>
        <v/>
      </c>
      <c r="AZ27" s="228" t="str">
        <f t="shared" si="2"/>
        <v/>
      </c>
    </row>
    <row r="28" spans="2:52" ht="15.75" customHeight="1" thickBot="1">
      <c r="B28" s="126"/>
      <c r="C28" s="383" t="s">
        <v>71</v>
      </c>
      <c r="D28" s="383"/>
      <c r="E28" s="383"/>
      <c r="F28" s="383"/>
      <c r="G28" s="383"/>
      <c r="H28" s="383"/>
      <c r="I28" s="383"/>
      <c r="J28" s="383"/>
      <c r="K28" s="383"/>
      <c r="L28" s="383"/>
      <c r="M28" s="383"/>
      <c r="N28" s="383"/>
      <c r="O28" s="383"/>
      <c r="P28" s="383"/>
      <c r="Q28" s="30"/>
      <c r="R28" s="31"/>
      <c r="S28" s="32"/>
      <c r="T28" s="33"/>
      <c r="U28" s="32"/>
      <c r="V28" s="32"/>
      <c r="W28" s="32"/>
      <c r="X28" s="30"/>
      <c r="Y28" s="31"/>
      <c r="Z28" s="32"/>
      <c r="AA28" s="33"/>
      <c r="AB28" s="32"/>
      <c r="AC28" s="32"/>
      <c r="AD28" s="32"/>
      <c r="AE28" s="113"/>
      <c r="AG28" s="403"/>
      <c r="AH28" s="404"/>
      <c r="AI28" s="407"/>
      <c r="AJ28" s="408"/>
      <c r="AN28" s="205">
        <f>IF($J24="","",$J24)</f>
        <v>19</v>
      </c>
      <c r="AO28" s="206" t="str">
        <f t="shared" si="4"/>
        <v>Grupo B</v>
      </c>
      <c r="AP28" s="346" t="str">
        <f>IF($K$25="","",$K$25)</f>
        <v/>
      </c>
      <c r="AQ28" s="347" t="str">
        <f t="shared" si="5"/>
        <v>Grupo A</v>
      </c>
      <c r="AR28" s="347" t="str">
        <f t="shared" si="5"/>
        <v>Grupo A</v>
      </c>
      <c r="AS28" s="348" t="str">
        <f t="shared" si="5"/>
        <v>Grupo A</v>
      </c>
      <c r="AT28" s="207" t="str">
        <f>IF(COUNT($M$24:$M$25)&lt;2,"",IF($M$24&lt;$M$25,"V",IF($M$24&gt;$M$25,"D","Empate??")))</f>
        <v/>
      </c>
      <c r="AU28" s="208" t="str">
        <f>IF(COUNT($M$24:$M$25)&lt;2,"",$M$25)</f>
        <v/>
      </c>
      <c r="AV28" s="209" t="str">
        <f>IF(COUNT($M$24:$M$25)&lt;2,"",$M$24)</f>
        <v/>
      </c>
      <c r="AW28" s="210" t="str">
        <f t="shared" si="3"/>
        <v/>
      </c>
      <c r="AX28" s="209" t="str">
        <f>IF(COUNT($M$24:$M$25)&lt;2,"",SUM($N$25:$P$25))</f>
        <v/>
      </c>
      <c r="AY28" s="211" t="str">
        <f>IF(COUNT($M$24:$M$25)&lt;2,"",SUM($N$24:$P$24))</f>
        <v/>
      </c>
      <c r="AZ28" s="212" t="str">
        <f t="shared" si="2"/>
        <v/>
      </c>
    </row>
    <row r="29" spans="2:52" ht="15" hidden="1" customHeight="1">
      <c r="B29" s="125"/>
      <c r="C29" s="167"/>
      <c r="D29" s="61"/>
      <c r="E29" s="61"/>
      <c r="F29" s="167"/>
      <c r="G29" s="167"/>
      <c r="H29" s="167"/>
      <c r="I29" s="61"/>
      <c r="J29" s="167"/>
      <c r="K29" s="259"/>
      <c r="L29" s="61"/>
      <c r="M29" s="61"/>
      <c r="N29" s="61"/>
      <c r="O29" s="61"/>
      <c r="P29" s="61"/>
      <c r="Q29" s="167"/>
      <c r="R29" s="61"/>
      <c r="S29" s="61"/>
      <c r="T29" s="61"/>
      <c r="U29" s="61"/>
      <c r="V29" s="61"/>
      <c r="W29" s="61"/>
      <c r="X29" s="167"/>
      <c r="Y29" s="337" t="s">
        <v>0</v>
      </c>
      <c r="Z29" s="338"/>
      <c r="AA29" s="338"/>
      <c r="AB29" s="338"/>
      <c r="AC29" s="338"/>
      <c r="AD29" s="339"/>
      <c r="AE29" s="3"/>
      <c r="AG29" s="384" t="s">
        <v>47</v>
      </c>
      <c r="AH29" s="384"/>
      <c r="AI29" s="384"/>
      <c r="AJ29" s="384"/>
      <c r="AN29" s="221">
        <f>IF($J26="","",$J26)</f>
        <v>20</v>
      </c>
      <c r="AO29" s="222" t="str">
        <f t="shared" si="4"/>
        <v>Grupo B</v>
      </c>
      <c r="AP29" s="349" t="str">
        <f>IF($K$26="","",$K$26)</f>
        <v>A Ferreira/J Lopes (Norte)</v>
      </c>
      <c r="AQ29" s="350" t="str">
        <f t="shared" si="5"/>
        <v>Grupo A</v>
      </c>
      <c r="AR29" s="350" t="str">
        <f t="shared" si="5"/>
        <v>Grupo A</v>
      </c>
      <c r="AS29" s="351" t="str">
        <f t="shared" si="5"/>
        <v>Grupo A</v>
      </c>
      <c r="AT29" s="223" t="str">
        <f>IF(COUNT($M$26:$M$27)&lt;2,"",IF($M$26&gt;$M$27,"V",IF($M$26&lt;$M$27,"D","Empate??")))</f>
        <v/>
      </c>
      <c r="AU29" s="224" t="str">
        <f>IF(COUNT($M$26:$M$27)&lt;2,"",$M$26)</f>
        <v/>
      </c>
      <c r="AV29" s="225" t="str">
        <f>IF(COUNT($M$26:$M$27)&lt;2,"",$M$27)</f>
        <v/>
      </c>
      <c r="AW29" s="226" t="str">
        <f t="shared" si="3"/>
        <v/>
      </c>
      <c r="AX29" s="225" t="str">
        <f>IF(COUNT($M$26:$M$27)&lt;2,"",SUM($N$26:$P$26))</f>
        <v/>
      </c>
      <c r="AY29" s="227" t="str">
        <f>IF(COUNT($M$26:$M$27)&lt;2,"",SUM($N$27:$P$27))</f>
        <v/>
      </c>
      <c r="AZ29" s="228" t="str">
        <f t="shared" si="2"/>
        <v/>
      </c>
    </row>
    <row r="30" spans="2:52" ht="15.75" hidden="1" customHeight="1" thickBot="1">
      <c r="B30" s="126"/>
      <c r="C30" s="317" t="str">
        <f>IF(D12="","1º do grupo A",D12)</f>
        <v>1º do grupo A</v>
      </c>
      <c r="D30" s="318"/>
      <c r="E30" s="69"/>
      <c r="F30" s="69"/>
      <c r="G30" s="70"/>
      <c r="H30" s="35" t="str">
        <f>IF(COUNT(E30:G30)&lt;1,"",IF(SUM(IF(E30&gt;E32,1,0),IF(F30&gt;F32,1,0),IF(G30&gt;G32,1,0))&gt;2,"??",SUM(IF(E30&gt;E32,1,0),IF(F30&gt;F32,1,0),IF(G30&gt;G32,1,0))))</f>
        <v/>
      </c>
      <c r="I30" s="36"/>
      <c r="J30" s="40"/>
      <c r="K30" s="55"/>
      <c r="L30" s="55"/>
      <c r="M30" s="55"/>
      <c r="N30" s="55"/>
      <c r="O30" s="55"/>
      <c r="P30" s="55"/>
      <c r="Q30" s="40"/>
      <c r="R30" s="55"/>
      <c r="S30" s="55"/>
      <c r="T30" s="55"/>
      <c r="U30" s="55"/>
      <c r="V30" s="55"/>
      <c r="W30" s="54"/>
      <c r="X30" s="68"/>
      <c r="Y30" s="340"/>
      <c r="Z30" s="341"/>
      <c r="AA30" s="341"/>
      <c r="AB30" s="341"/>
      <c r="AC30" s="341"/>
      <c r="AD30" s="342"/>
      <c r="AE30" s="113"/>
      <c r="AG30" s="385"/>
      <c r="AH30" s="385"/>
      <c r="AI30" s="385"/>
      <c r="AJ30" s="385"/>
      <c r="AN30" s="229">
        <f>IF($J26="","",$J26)</f>
        <v>20</v>
      </c>
      <c r="AO30" s="230" t="str">
        <f t="shared" si="4"/>
        <v>Grupo B</v>
      </c>
      <c r="AP30" s="354" t="str">
        <f>IF($K$27="","",$K$27)</f>
        <v>M Vieira/L Nunes (Centro)</v>
      </c>
      <c r="AQ30" s="355" t="str">
        <f t="shared" si="5"/>
        <v>Grupo A</v>
      </c>
      <c r="AR30" s="355" t="str">
        <f t="shared" si="5"/>
        <v>Grupo A</v>
      </c>
      <c r="AS30" s="356" t="str">
        <f t="shared" si="5"/>
        <v>Grupo A</v>
      </c>
      <c r="AT30" s="231" t="str">
        <f>IF(COUNT($M$26:$M$27)&lt;2,"",IF($M$26&lt;$M$27,"V",IF($M$26&gt;$M$27,"D","Empate??")))</f>
        <v/>
      </c>
      <c r="AU30" s="232" t="str">
        <f>IF(COUNT($M$26:$M$27)&lt;2,"",$M$27)</f>
        <v/>
      </c>
      <c r="AV30" s="233" t="str">
        <f>IF(COUNT($M$26:$M$27)&lt;2,"",$M$26)</f>
        <v/>
      </c>
      <c r="AW30" s="234" t="str">
        <f t="shared" si="3"/>
        <v/>
      </c>
      <c r="AX30" s="233" t="str">
        <f>IF(COUNT($M$26:$M$27)&lt;2,"",SUM($N$27:$P$27))</f>
        <v/>
      </c>
      <c r="AY30" s="235" t="str">
        <f>IF(COUNT($M$26:$M$27)&lt;2,"",SUM($N$26:$P$26))</f>
        <v/>
      </c>
      <c r="AZ30" s="236" t="str">
        <f t="shared" si="2"/>
        <v/>
      </c>
    </row>
    <row r="31" spans="2:52" ht="15.75" hidden="1" customHeight="1">
      <c r="B31" s="126"/>
      <c r="C31" s="68"/>
      <c r="D31" s="37"/>
      <c r="E31" s="41"/>
      <c r="F31" s="41"/>
      <c r="G31" s="62"/>
      <c r="H31" s="64">
        <v>25</v>
      </c>
      <c r="I31" s="386" t="str">
        <f>IF(OR(H30="",H32="")=TRUE,"1ª Meia Final-Jogador1",IF(H30&gt;H32,C30,C32))</f>
        <v>1ª Meia Final-Jogador1</v>
      </c>
      <c r="J31" s="387"/>
      <c r="K31" s="388"/>
      <c r="L31" s="69"/>
      <c r="M31" s="69"/>
      <c r="N31" s="70"/>
      <c r="O31" s="38" t="str">
        <f>IF(COUNT(L31:N31)&lt;1,"",IF(SUM(IF(L31&gt;L35,1,0),IF(M31&gt;M35,1,0),IF(N31&gt;N35,1,0))&gt;2,"??",SUM(IF(L31&gt;L35,1,0),IF(M31&gt;M35,1,0),IF(N31&gt;N35,1,0))))</f>
        <v/>
      </c>
      <c r="P31" s="55"/>
      <c r="Q31" s="40"/>
      <c r="R31" s="55"/>
      <c r="S31" s="55"/>
      <c r="T31" s="55"/>
      <c r="U31" s="55"/>
      <c r="V31" s="55"/>
      <c r="W31" s="54"/>
      <c r="X31" s="68"/>
      <c r="Y31" s="389" t="str">
        <f>IF(X37="1º Classificado","",X37)</f>
        <v/>
      </c>
      <c r="Z31" s="390"/>
      <c r="AA31" s="390"/>
      <c r="AB31" s="390"/>
      <c r="AC31" s="390"/>
      <c r="AD31" s="39" t="s">
        <v>1</v>
      </c>
      <c r="AE31" s="113"/>
      <c r="AG31" s="385"/>
      <c r="AH31" s="385"/>
      <c r="AI31" s="385"/>
      <c r="AJ31" s="385"/>
      <c r="AN31" s="173">
        <f>IF($Q16="","",$Q16)</f>
        <v>5</v>
      </c>
      <c r="AO31" s="174" t="str">
        <f>IF($Q$5="","",$Q$5)</f>
        <v>Grupo C</v>
      </c>
      <c r="AP31" s="376" t="str">
        <f>IF($R$16="","",$R$16)</f>
        <v>M Eiras/S Veiga (Norte)</v>
      </c>
      <c r="AQ31" s="377" t="str">
        <f t="shared" si="5"/>
        <v>Grupo A</v>
      </c>
      <c r="AR31" s="377" t="str">
        <f t="shared" si="5"/>
        <v>Grupo A</v>
      </c>
      <c r="AS31" s="378" t="str">
        <f t="shared" si="5"/>
        <v>Grupo A</v>
      </c>
      <c r="AT31" s="176" t="str">
        <f>IF(COUNT($T$16:$T$17)&lt;2,"",IF($T$16&gt;$T$17,"V",IF($T$16&lt;$T$17,"D","Empate??")))</f>
        <v/>
      </c>
      <c r="AU31" s="177" t="str">
        <f>IF(COUNT($T$16:$T$17)&lt;2,"",$T$16)</f>
        <v/>
      </c>
      <c r="AV31" s="178" t="str">
        <f>IF(COUNT($T$16:$T$17)&lt;2,"",$T$17)</f>
        <v/>
      </c>
      <c r="AW31" s="179" t="str">
        <f t="shared" si="3"/>
        <v/>
      </c>
      <c r="AX31" s="178" t="str">
        <f>IF(COUNT($T$16:$T$17)&lt;2,"",SUM($U$16:$W$16))</f>
        <v/>
      </c>
      <c r="AY31" s="180" t="str">
        <f>IF(COUNT($T$16:$T$17)&lt;2,"",SUM($U$17:$W$17))</f>
        <v/>
      </c>
      <c r="AZ31" s="181" t="str">
        <f t="shared" si="2"/>
        <v/>
      </c>
    </row>
    <row r="32" spans="2:52" ht="15.75" hidden="1" customHeight="1">
      <c r="B32" s="126"/>
      <c r="C32" s="317" t="str">
        <f>IF(K13="","2º do grupo B",K13)</f>
        <v>2º do grupo B</v>
      </c>
      <c r="D32" s="318"/>
      <c r="E32" s="69"/>
      <c r="F32" s="69"/>
      <c r="G32" s="70"/>
      <c r="H32" s="35" t="str">
        <f>IF(COUNT(E32:G32)&lt;1,"",IF(SUM(IF(E30&lt;E32,1,0),IF(F30&lt;F32,1,0),IF(G30&lt;G32,1,0))&gt;2,"??",SUM(IF(E30&lt;E32,1,0),IF(F30&lt;F32,1,0),IF(G30&lt;G32,1,0))))</f>
        <v/>
      </c>
      <c r="I32" s="36"/>
      <c r="J32" s="40"/>
      <c r="K32" s="59"/>
      <c r="L32" s="55"/>
      <c r="M32" s="41"/>
      <c r="N32" s="41"/>
      <c r="O32" s="42"/>
      <c r="P32" s="36"/>
      <c r="Q32" s="40"/>
      <c r="R32" s="55"/>
      <c r="S32" s="55"/>
      <c r="T32" s="55"/>
      <c r="U32" s="55"/>
      <c r="V32" s="60"/>
      <c r="W32" s="53"/>
      <c r="X32" s="48"/>
      <c r="Y32" s="379" t="str">
        <f>IF(Y31="","",IF(Y31=P33,P41,P33))</f>
        <v/>
      </c>
      <c r="Z32" s="380" t="e">
        <f>IF(#REF!="","",IF(#REF!=W32,"","(2º) "))</f>
        <v>#REF!</v>
      </c>
      <c r="AA32" s="380" t="e">
        <f>IF(#REF!="","",IF(#REF!=X32,"","(2º) "))</f>
        <v>#REF!</v>
      </c>
      <c r="AB32" s="380" t="e">
        <f>IF(#REF!="","",IF(#REF!=Y32,"","(2º) "))</f>
        <v>#REF!</v>
      </c>
      <c r="AC32" s="380" t="e">
        <f>IF(#REF!="","",IF(#REF!=Z32,"","(2º) "))</f>
        <v>#REF!</v>
      </c>
      <c r="AD32" s="43" t="s">
        <v>2</v>
      </c>
      <c r="AE32" s="113"/>
      <c r="AN32" s="182">
        <f>IF($Q16="","",$Q16)</f>
        <v>5</v>
      </c>
      <c r="AO32" s="171" t="str">
        <f t="shared" ref="AO32:AO42" si="6">IF($Q$5="","",$Q$5)</f>
        <v>Grupo C</v>
      </c>
      <c r="AP32" s="367" t="str">
        <f>IF($R$17="","",$R$17)</f>
        <v/>
      </c>
      <c r="AQ32" s="368" t="str">
        <f t="shared" si="5"/>
        <v>Grupo A</v>
      </c>
      <c r="AR32" s="368" t="str">
        <f t="shared" si="5"/>
        <v>Grupo A</v>
      </c>
      <c r="AS32" s="369" t="str">
        <f t="shared" si="5"/>
        <v>Grupo A</v>
      </c>
      <c r="AT32" s="183" t="str">
        <f>IF(COUNT($T$16:$T$17)&lt;2,"",IF($T$16&lt;$T$17,"V",IF($T$16&gt;$T$17,"D","Empate??")))</f>
        <v/>
      </c>
      <c r="AU32" s="184" t="str">
        <f>IF(COUNT($T$16:$T$17)&lt;2,"",$T$17)</f>
        <v/>
      </c>
      <c r="AV32" s="185" t="str">
        <f>IF(COUNT($T$16:$T$17)&lt;2,"",$T$16)</f>
        <v/>
      </c>
      <c r="AW32" s="186" t="str">
        <f t="shared" si="3"/>
        <v/>
      </c>
      <c r="AX32" s="185" t="str">
        <f>IF(COUNT($T$16:$T$17)&lt;2,"",SUM($U$17:$W$17))</f>
        <v/>
      </c>
      <c r="AY32" s="187" t="str">
        <f>IF(COUNT($T$16:$T$17)&lt;2,"",SUM($U$16:$W$16))</f>
        <v/>
      </c>
      <c r="AZ32" s="188" t="str">
        <f t="shared" si="2"/>
        <v/>
      </c>
    </row>
    <row r="33" spans="2:52" ht="15.75" hidden="1" customHeight="1">
      <c r="B33" s="126"/>
      <c r="C33" s="68"/>
      <c r="D33" s="37"/>
      <c r="E33" s="55"/>
      <c r="F33" s="42"/>
      <c r="G33" s="44"/>
      <c r="H33" s="44"/>
      <c r="I33" s="55"/>
      <c r="J33" s="40"/>
      <c r="K33" s="59"/>
      <c r="L33" s="55"/>
      <c r="M33" s="42"/>
      <c r="N33" s="42"/>
      <c r="O33" s="64">
        <v>29</v>
      </c>
      <c r="P33" s="322" t="str">
        <f>IF(OR(O31="",O35="")=TRUE,"Final-Jogador1",IF(O31&gt;O35,I31,I35))</f>
        <v>Final-Jogador1</v>
      </c>
      <c r="Q33" s="317"/>
      <c r="R33" s="317"/>
      <c r="S33" s="318"/>
      <c r="T33" s="69"/>
      <c r="U33" s="69"/>
      <c r="V33" s="69"/>
      <c r="W33" s="45" t="str">
        <f>IF(COUNT(T33:V33)&lt;1,"",IF(SUM(IF(T33&gt;T41,1,0),IF(U33&gt;U41,1,0),IF(V33&gt;V41,1,0))&gt;2,"??",SUM(IF(T33&gt;T41,1,0),IF(U33&gt;U41,1,0),IF(V33&gt;V41,1,0))))</f>
        <v/>
      </c>
      <c r="X33" s="48"/>
      <c r="Y33" s="381" t="str">
        <f>IF(P37="3º Classificado","",P37)</f>
        <v/>
      </c>
      <c r="Z33" s="382"/>
      <c r="AA33" s="382"/>
      <c r="AB33" s="382"/>
      <c r="AC33" s="382"/>
      <c r="AD33" s="166" t="s">
        <v>3</v>
      </c>
      <c r="AE33" s="113"/>
      <c r="AN33" s="189">
        <f>IF($Q18="","",$Q18)</f>
        <v>6</v>
      </c>
      <c r="AO33" s="172" t="str">
        <f t="shared" si="6"/>
        <v>Grupo C</v>
      </c>
      <c r="AP33" s="364" t="str">
        <f>IF($R$18="","",$R$18)</f>
        <v>N Silva/F Silva (Algarve)</v>
      </c>
      <c r="AQ33" s="365" t="str">
        <f t="shared" si="5"/>
        <v>Grupo A</v>
      </c>
      <c r="AR33" s="365" t="str">
        <f t="shared" si="5"/>
        <v>Grupo A</v>
      </c>
      <c r="AS33" s="366" t="str">
        <f t="shared" si="5"/>
        <v>Grupo A</v>
      </c>
      <c r="AT33" s="190" t="str">
        <f>IF(COUNT($T$18:$T$19)&lt;2,"",IF($T$18&gt;$T$19,"V",IF($T$18&lt;$T$19,"D","Empate??")))</f>
        <v/>
      </c>
      <c r="AU33" s="191" t="str">
        <f>IF(COUNT($T$18:$T$19)&lt;2,"",$T$18)</f>
        <v/>
      </c>
      <c r="AV33" s="192" t="str">
        <f>IF(COUNT($T$18:$T$19)&lt;2,"",$T$19)</f>
        <v/>
      </c>
      <c r="AW33" s="193" t="str">
        <f t="shared" si="3"/>
        <v/>
      </c>
      <c r="AX33" s="192" t="str">
        <f>IF(COUNT($T$18:$T$19)&lt;2,"",SUM($U$18:$W$18))</f>
        <v/>
      </c>
      <c r="AY33" s="194" t="str">
        <f>IF(COUNT($T$18:$T$19)&lt;2,"",SUM($U$19:$W$19))</f>
        <v/>
      </c>
      <c r="AZ33" s="195" t="str">
        <f t="shared" si="2"/>
        <v/>
      </c>
    </row>
    <row r="34" spans="2:52" ht="15.75" hidden="1" customHeight="1" thickBot="1">
      <c r="B34" s="126"/>
      <c r="C34" s="317" t="str">
        <f>IF(Y13="","2º do grupo D",Y13)</f>
        <v>2º do grupo D</v>
      </c>
      <c r="D34" s="318"/>
      <c r="E34" s="69"/>
      <c r="F34" s="69"/>
      <c r="G34" s="70"/>
      <c r="H34" s="35" t="str">
        <f>IF(COUNT(E34:G34)&lt;1,"",IF(SUM(IF(E34&gt;E36,1,0),IF(F34&gt;F36,1,0),IF(G34&gt;G36,1,0))&gt;2,"??",SUM(IF(E34&gt;E36,1,0),IF(F34&gt;F36,1,0),IF(G34&gt;G36,1,0))))</f>
        <v/>
      </c>
      <c r="I34" s="36"/>
      <c r="J34" s="40"/>
      <c r="K34" s="59"/>
      <c r="L34" s="55"/>
      <c r="M34" s="42"/>
      <c r="N34" s="42"/>
      <c r="O34" s="42"/>
      <c r="P34" s="36"/>
      <c r="Q34" s="40"/>
      <c r="R34" s="55"/>
      <c r="S34" s="46"/>
      <c r="T34" s="42"/>
      <c r="U34" s="42"/>
      <c r="V34" s="67"/>
      <c r="W34" s="47"/>
      <c r="X34" s="48"/>
      <c r="Y34" s="371" t="str">
        <f>IF(Y33="","",IF(Y33=P35,P39,P35))</f>
        <v/>
      </c>
      <c r="Z34" s="372" t="e">
        <f>IF(#REF!="","",IF(#REF!=W34,"","(2º) "))</f>
        <v>#REF!</v>
      </c>
      <c r="AA34" s="372" t="e">
        <f>IF(#REF!="","",IF(#REF!=X34,"","(2º) "))</f>
        <v>#REF!</v>
      </c>
      <c r="AB34" s="372" t="e">
        <f>IF(#REF!="","",IF(#REF!=Y34,"","(2º) "))</f>
        <v>#REF!</v>
      </c>
      <c r="AC34" s="372" t="e">
        <f>IF(#REF!="","",IF(#REF!=Z34,"","(2º) "))</f>
        <v>#REF!</v>
      </c>
      <c r="AD34" s="165" t="s">
        <v>4</v>
      </c>
      <c r="AE34" s="113"/>
      <c r="AN34" s="182">
        <f>IF($Q18="","",$Q18)</f>
        <v>6</v>
      </c>
      <c r="AO34" s="171" t="str">
        <f t="shared" si="6"/>
        <v>Grupo C</v>
      </c>
      <c r="AP34" s="367" t="str">
        <f>IF($R$19="","",$R$19)</f>
        <v>M Henriques/F Seita (Lisboa)</v>
      </c>
      <c r="AQ34" s="368" t="str">
        <f t="shared" si="5"/>
        <v>Grupo A</v>
      </c>
      <c r="AR34" s="368" t="str">
        <f t="shared" si="5"/>
        <v>Grupo A</v>
      </c>
      <c r="AS34" s="369" t="str">
        <f t="shared" si="5"/>
        <v>Grupo A</v>
      </c>
      <c r="AT34" s="183" t="str">
        <f>IF(COUNT($T$18:$T$19)&lt;2,"",IF($T$18&lt;$T$19,"V",IF($T$18&gt;$T$19,"D","Empate??")))</f>
        <v/>
      </c>
      <c r="AU34" s="184" t="str">
        <f>IF(COUNT($T$18:$T$19)&lt;2,"",$T$19)</f>
        <v/>
      </c>
      <c r="AV34" s="185" t="str">
        <f>IF(COUNT($T$18:$T$19)&lt;2,"",$T$18)</f>
        <v/>
      </c>
      <c r="AW34" s="186" t="str">
        <f t="shared" si="3"/>
        <v/>
      </c>
      <c r="AX34" s="185" t="str">
        <f>IF(COUNT($T$18:$T$19)&lt;2,"",SUM($U$19:$W$19))</f>
        <v/>
      </c>
      <c r="AY34" s="187" t="str">
        <f>IF(COUNT($T$18:$T$19)&lt;2,"",SUM($U$18:$W$18))</f>
        <v/>
      </c>
      <c r="AZ34" s="188" t="str">
        <f t="shared" si="2"/>
        <v/>
      </c>
    </row>
    <row r="35" spans="2:52" ht="15.75" hidden="1" customHeight="1">
      <c r="B35" s="126"/>
      <c r="C35" s="68"/>
      <c r="D35" s="37"/>
      <c r="E35" s="55"/>
      <c r="F35" s="42"/>
      <c r="G35" s="44"/>
      <c r="H35" s="63">
        <v>26</v>
      </c>
      <c r="I35" s="322" t="str">
        <f>IF(OR(H34="",H36="")=TRUE,"1ª Meia Final-Jogador2",IF(H34&gt;H36,C34,C36))</f>
        <v>1ª Meia Final-Jogador2</v>
      </c>
      <c r="J35" s="317"/>
      <c r="K35" s="318"/>
      <c r="L35" s="69"/>
      <c r="M35" s="69"/>
      <c r="N35" s="70"/>
      <c r="O35" s="38" t="str">
        <f>IF(COUNT(L35:N35)&lt;1,"",IF(SUM(IF(L31&lt;L35,1,0),IF(M31&lt;M35,1,0),IF(N31&lt;N35,1,0))&gt;2,"??",SUM(IF(L31&lt;L35,1,0),IF(M31&lt;M35,1,0),IF(N31&lt;N35,1,0))))</f>
        <v/>
      </c>
      <c r="P35" s="319" t="str">
        <f>IF(P33="Final-Jogador1","Disputa 3º/4º  Jogador1",IF(P33=I31,I35,I31))</f>
        <v>Disputa 3º/4º  Jogador1</v>
      </c>
      <c r="Q35" s="320"/>
      <c r="R35" s="321"/>
      <c r="S35" s="69"/>
      <c r="T35" s="69"/>
      <c r="U35" s="69"/>
      <c r="V35" s="49" t="str">
        <f>IF(COUNT(S35:U35)&lt;1,"",IF(SUM(IF(S35&gt;S39,1,0),IF(T35&gt;T39,1,0),IF(U35&gt;U39,1,0))&gt;2,"??",SUM(IF(S35&gt;S39,1,0),IF(T35&gt;T39,1,0),IF(U35&gt;U39,1,0))))</f>
        <v/>
      </c>
      <c r="W35" s="50"/>
      <c r="X35" s="48"/>
      <c r="Y35" s="53"/>
      <c r="Z35" s="53"/>
      <c r="AA35" s="53"/>
      <c r="AB35" s="53"/>
      <c r="AC35" s="53"/>
      <c r="AD35" s="54"/>
      <c r="AE35" s="113"/>
      <c r="AN35" s="189">
        <f>IF($Q20="","",$Q20)</f>
        <v>13</v>
      </c>
      <c r="AO35" s="172" t="str">
        <f t="shared" si="6"/>
        <v>Grupo C</v>
      </c>
      <c r="AP35" s="364" t="str">
        <f>IF($R$20="","",$R$20)</f>
        <v/>
      </c>
      <c r="AQ35" s="365" t="str">
        <f t="shared" si="5"/>
        <v>Grupo A</v>
      </c>
      <c r="AR35" s="365" t="str">
        <f t="shared" si="5"/>
        <v>Grupo A</v>
      </c>
      <c r="AS35" s="366" t="str">
        <f t="shared" si="5"/>
        <v>Grupo A</v>
      </c>
      <c r="AT35" s="190" t="str">
        <f>IF(COUNT($T$20:$T$21)&lt;2,"",IF($T$20&gt;$T$21,"V",IF($T$20&lt;$T$21,"D","Empate??")))</f>
        <v/>
      </c>
      <c r="AU35" s="191" t="str">
        <f>IF(COUNT($T$20:$T$21)&lt;2,"",$T$20)</f>
        <v/>
      </c>
      <c r="AV35" s="192" t="str">
        <f>IF(COUNT($T$20:$T$21)&lt;2,"",$T$21)</f>
        <v/>
      </c>
      <c r="AW35" s="193" t="str">
        <f t="shared" si="3"/>
        <v/>
      </c>
      <c r="AX35" s="192" t="str">
        <f>IF(COUNT($T$20:$T$21)&lt;2,"",SUM($U$20:$W$20))</f>
        <v/>
      </c>
      <c r="AY35" s="194" t="str">
        <f>IF(COUNT($T$20:$T$21)&lt;2,"",SUM($U$21:$W$21))</f>
        <v/>
      </c>
      <c r="AZ35" s="195" t="str">
        <f t="shared" si="2"/>
        <v/>
      </c>
    </row>
    <row r="36" spans="2:52" ht="15.75" hidden="1" customHeight="1">
      <c r="B36" s="126"/>
      <c r="C36" s="317" t="str">
        <f>IF(R12="","1º do grupo C",R12)</f>
        <v>1º do grupo C</v>
      </c>
      <c r="D36" s="318"/>
      <c r="E36" s="69"/>
      <c r="F36" s="69"/>
      <c r="G36" s="70"/>
      <c r="H36" s="35" t="str">
        <f>IF(COUNT(E36:G36)&lt;1,"",IF(SUM(IF(E34&lt;E36,1,0),IF(F34&lt;F36,1,0),IF(G34&lt;G36,1,0))&gt;2,"??",SUM(IF(E34&lt;E36,1,0),IF(F34&lt;F36,1,0),IF(G34&lt;G36,1,0))))</f>
        <v/>
      </c>
      <c r="I36" s="36"/>
      <c r="J36" s="40"/>
      <c r="K36" s="59"/>
      <c r="L36" s="46"/>
      <c r="M36" s="42"/>
      <c r="N36" s="42"/>
      <c r="O36" s="42"/>
      <c r="P36" s="55"/>
      <c r="Q36" s="51"/>
      <c r="R36" s="46"/>
      <c r="S36" s="46"/>
      <c r="T36" s="41"/>
      <c r="U36" s="41"/>
      <c r="V36" s="52"/>
      <c r="W36" s="50"/>
      <c r="X36" s="48"/>
      <c r="Y36" s="53"/>
      <c r="Z36" s="53"/>
      <c r="AA36" s="53"/>
      <c r="AB36" s="53"/>
      <c r="AC36" s="53"/>
      <c r="AD36" s="54"/>
      <c r="AE36" s="113"/>
      <c r="AN36" s="182">
        <f>IF($Q20="","",$Q20)</f>
        <v>13</v>
      </c>
      <c r="AO36" s="171" t="str">
        <f t="shared" si="6"/>
        <v>Grupo C</v>
      </c>
      <c r="AP36" s="367" t="str">
        <f>IF($R$21="","",$R$21)</f>
        <v>M Henriques/F Seita (Lisboa)</v>
      </c>
      <c r="AQ36" s="368" t="str">
        <f t="shared" si="5"/>
        <v>Grupo A</v>
      </c>
      <c r="AR36" s="368" t="str">
        <f t="shared" si="5"/>
        <v>Grupo A</v>
      </c>
      <c r="AS36" s="369" t="str">
        <f t="shared" si="5"/>
        <v>Grupo A</v>
      </c>
      <c r="AT36" s="183" t="str">
        <f>IF(COUNT($T$20:$T$21)&lt;2,"",IF($T$20&lt;$T$21,"V",IF($T$20&gt;$T$21,"D","Empate??")))</f>
        <v/>
      </c>
      <c r="AU36" s="184" t="str">
        <f>IF(COUNT($T$20:$T$21)&lt;2,"",$T$21)</f>
        <v/>
      </c>
      <c r="AV36" s="185" t="str">
        <f>IF(COUNT($T$20:$T$21)&lt;2,"",$T$20)</f>
        <v/>
      </c>
      <c r="AW36" s="186" t="str">
        <f t="shared" si="3"/>
        <v/>
      </c>
      <c r="AX36" s="185" t="str">
        <f>IF(COUNT($T$20:$T$21)&lt;2,"",SUM($U$21:$W$21))</f>
        <v/>
      </c>
      <c r="AY36" s="187" t="str">
        <f>IF(COUNT($T$20:$T$21)&lt;2,"",SUM($U$20:$W$20))</f>
        <v/>
      </c>
      <c r="AZ36" s="188" t="str">
        <f t="shared" si="2"/>
        <v/>
      </c>
    </row>
    <row r="37" spans="2:52" ht="27" hidden="1" customHeight="1">
      <c r="B37" s="126"/>
      <c r="C37" s="127" t="s">
        <v>72</v>
      </c>
      <c r="D37" s="71"/>
      <c r="E37" s="118"/>
      <c r="F37" s="118"/>
      <c r="G37" s="119"/>
      <c r="H37" s="120"/>
      <c r="I37" s="55"/>
      <c r="J37" s="40"/>
      <c r="K37" s="59"/>
      <c r="L37" s="55"/>
      <c r="M37" s="42"/>
      <c r="N37" s="42"/>
      <c r="O37" s="42"/>
      <c r="P37" s="328" t="str">
        <f>IF(OR(V35="",V39="")=TRUE,"3º Classificado",IF(V35&gt;V39,P35,P39))</f>
        <v>3º Classificado</v>
      </c>
      <c r="Q37" s="328"/>
      <c r="R37" s="328"/>
      <c r="S37" s="328"/>
      <c r="T37" s="328"/>
      <c r="U37" s="328"/>
      <c r="V37" s="65">
        <v>31</v>
      </c>
      <c r="W37" s="66">
        <v>32</v>
      </c>
      <c r="X37" s="329" t="str">
        <f>IF(OR(W33="",W41="")=TRUE,"1º Classificado",IF(W33&gt;W41,P33,P41))</f>
        <v>1º Classificado</v>
      </c>
      <c r="Y37" s="330"/>
      <c r="Z37" s="330"/>
      <c r="AA37" s="330"/>
      <c r="AB37" s="330"/>
      <c r="AC37" s="330"/>
      <c r="AD37" s="54"/>
      <c r="AE37" s="113"/>
      <c r="AN37" s="189">
        <f>IF($Q22="","",$Q22)</f>
        <v>14</v>
      </c>
      <c r="AO37" s="172" t="str">
        <f t="shared" si="6"/>
        <v>Grupo C</v>
      </c>
      <c r="AP37" s="364" t="str">
        <f>IF($R$22="","",$R$22)</f>
        <v>M Eiras/S Veiga (Norte)</v>
      </c>
      <c r="AQ37" s="365" t="str">
        <f t="shared" si="5"/>
        <v>Grupo A</v>
      </c>
      <c r="AR37" s="365" t="str">
        <f t="shared" si="5"/>
        <v>Grupo A</v>
      </c>
      <c r="AS37" s="366" t="str">
        <f t="shared" si="5"/>
        <v>Grupo A</v>
      </c>
      <c r="AT37" s="190" t="str">
        <f>IF(COUNT($T$22:$T$23)&lt;2,"",IF($T$22&gt;$T$23,"V",IF($T$22&lt;$T$23,"D","Empate??")))</f>
        <v/>
      </c>
      <c r="AU37" s="191" t="str">
        <f>IF(COUNT($T$22:$T$23)&lt;2,"",$T$22)</f>
        <v/>
      </c>
      <c r="AV37" s="192" t="str">
        <f>IF(COUNT($T$22:$T$23)&lt;2,"",$T$23)</f>
        <v/>
      </c>
      <c r="AW37" s="193" t="str">
        <f t="shared" si="3"/>
        <v/>
      </c>
      <c r="AX37" s="192" t="str">
        <f>IF(COUNT($T$22:$T$23)&lt;2,"",SUM($U$22:$W$22))</f>
        <v/>
      </c>
      <c r="AY37" s="194" t="str">
        <f>IF(COUNT($T$22:$T$23)&lt;2,"",SUM($U$23:$W$23))</f>
        <v/>
      </c>
      <c r="AZ37" s="195" t="str">
        <f t="shared" si="2"/>
        <v/>
      </c>
    </row>
    <row r="38" spans="2:52" ht="15.75" hidden="1" customHeight="1">
      <c r="B38" s="126"/>
      <c r="C38" s="317" t="str">
        <f>IF(K12="","1º do grupo B",K12)</f>
        <v>1º do grupo B</v>
      </c>
      <c r="D38" s="318"/>
      <c r="E38" s="69"/>
      <c r="F38" s="69"/>
      <c r="G38" s="70"/>
      <c r="H38" s="35" t="str">
        <f>IF(COUNT(E38:G38)&lt;1,"",IF(SUM(IF(E38&gt;E40,1,0),IF(F38&gt;F40,1,0),IF(G38&gt;G40,1,0))&gt;2,"??",SUM(IF(E38&gt;E40,1,0),IF(F38&gt;F40,1,0),IF(G38&gt;G40,1,0))))</f>
        <v/>
      </c>
      <c r="I38" s="36"/>
      <c r="J38" s="40"/>
      <c r="K38" s="59"/>
      <c r="L38" s="55"/>
      <c r="M38" s="42"/>
      <c r="N38" s="42"/>
      <c r="O38" s="42"/>
      <c r="P38" s="55"/>
      <c r="Q38" s="40"/>
      <c r="R38" s="55"/>
      <c r="S38" s="55"/>
      <c r="T38" s="42"/>
      <c r="U38" s="42"/>
      <c r="V38" s="56"/>
      <c r="W38" s="50"/>
      <c r="X38" s="48"/>
      <c r="Y38" s="370" t="s">
        <v>5</v>
      </c>
      <c r="Z38" s="370"/>
      <c r="AA38" s="370"/>
      <c r="AB38" s="370"/>
      <c r="AC38" s="370"/>
      <c r="AD38" s="54"/>
      <c r="AE38" s="113"/>
      <c r="AN38" s="182">
        <f>IF($Q22="","",$Q22)</f>
        <v>14</v>
      </c>
      <c r="AO38" s="171" t="str">
        <f t="shared" si="6"/>
        <v>Grupo C</v>
      </c>
      <c r="AP38" s="367" t="str">
        <f>IF($R$23="","",$R$23)</f>
        <v>N Silva/F Silva (Algarve)</v>
      </c>
      <c r="AQ38" s="368" t="str">
        <f t="shared" si="5"/>
        <v>Grupo A</v>
      </c>
      <c r="AR38" s="368" t="str">
        <f t="shared" si="5"/>
        <v>Grupo A</v>
      </c>
      <c r="AS38" s="369" t="str">
        <f t="shared" si="5"/>
        <v>Grupo A</v>
      </c>
      <c r="AT38" s="183" t="str">
        <f>IF(COUNT($T$22:$T$23)&lt;2,"",IF($T$22&lt;$T$23,"V",IF($T$22&gt;$T$23,"D","Empate??")))</f>
        <v/>
      </c>
      <c r="AU38" s="184" t="str">
        <f>IF(COUNT($T$22:$T$23)&lt;2,"",$T$23)</f>
        <v/>
      </c>
      <c r="AV38" s="185" t="str">
        <f>IF(COUNT($T$22:$T$23)&lt;2,"",$T$22)</f>
        <v/>
      </c>
      <c r="AW38" s="186" t="str">
        <f t="shared" si="3"/>
        <v/>
      </c>
      <c r="AX38" s="185" t="str">
        <f>IF(COUNT($T$22:$T$23)&lt;2,"",SUM($U$23:$W$23))</f>
        <v/>
      </c>
      <c r="AY38" s="187" t="str">
        <f>IF(COUNT($T$22:$T$23)&lt;2,"",SUM($U$22:$W$22))</f>
        <v/>
      </c>
      <c r="AZ38" s="188" t="str">
        <f t="shared" si="2"/>
        <v/>
      </c>
    </row>
    <row r="39" spans="2:52" ht="15.75" hidden="1" customHeight="1">
      <c r="B39" s="126"/>
      <c r="C39" s="68"/>
      <c r="D39" s="37"/>
      <c r="E39" s="55"/>
      <c r="F39" s="41"/>
      <c r="G39" s="44"/>
      <c r="H39" s="63">
        <v>27</v>
      </c>
      <c r="I39" s="322" t="str">
        <f>IF(OR(H38="",H40="")=TRUE,"2ª Meia Final-Jogador1",IF(H38&gt;H40,C38,C40))</f>
        <v>2ª Meia Final-Jogador1</v>
      </c>
      <c r="J39" s="317"/>
      <c r="K39" s="318"/>
      <c r="L39" s="69"/>
      <c r="M39" s="69"/>
      <c r="N39" s="70"/>
      <c r="O39" s="38" t="str">
        <f>IF(COUNT(L39:N39)&lt;1,"",IF(SUM(IF(L39&gt;L43,1,0),IF(M39&gt;M43,1,0),IF(N39&gt;N43,1,0))&gt;2,"??",SUM(IF(L39&gt;L43,1,0),IF(M39&gt;M43,1,0),IF(N39&gt;N43,1,0))))</f>
        <v/>
      </c>
      <c r="P39" s="319" t="str">
        <f>IF(P41="Final-Jogador2","Disputa 3º/4º  Jogador2",IF(P41=I39,I43,I39))</f>
        <v>Disputa 3º/4º  Jogador2</v>
      </c>
      <c r="Q39" s="320"/>
      <c r="R39" s="321"/>
      <c r="S39" s="69"/>
      <c r="T39" s="69"/>
      <c r="U39" s="69"/>
      <c r="V39" s="49" t="str">
        <f>IF(COUNT(S39:U39)&lt;1,"",IF(SUM(IF(S35&lt;S39,1,0),IF(T35&lt;T39,1,0),IF(U35&lt;U39,1,0))&gt;2,"??",SUM(IF(S35&lt;S39,1,0),IF(T35&lt;T39,1,0),IF(U35&lt;U39,1,0))))</f>
        <v/>
      </c>
      <c r="W39" s="50"/>
      <c r="X39" s="48"/>
      <c r="Y39" s="53"/>
      <c r="Z39" s="53"/>
      <c r="AA39" s="53"/>
      <c r="AB39" s="57"/>
      <c r="AC39" s="57"/>
      <c r="AD39" s="58"/>
      <c r="AE39" s="113"/>
      <c r="AN39" s="189">
        <f>IF($Q24="","",$Q24)</f>
        <v>21</v>
      </c>
      <c r="AO39" s="172" t="str">
        <f t="shared" si="6"/>
        <v>Grupo C</v>
      </c>
      <c r="AP39" s="364" t="str">
        <f>IF($R$24="","",$R$24)</f>
        <v>N Silva/F Silva (Algarve)</v>
      </c>
      <c r="AQ39" s="365" t="str">
        <f t="shared" ref="AQ39:AS54" si="7">IF($C$5="","",$C$5)</f>
        <v>Grupo A</v>
      </c>
      <c r="AR39" s="365" t="str">
        <f t="shared" si="7"/>
        <v>Grupo A</v>
      </c>
      <c r="AS39" s="366" t="str">
        <f t="shared" si="7"/>
        <v>Grupo A</v>
      </c>
      <c r="AT39" s="190" t="str">
        <f>IF(COUNT($T$24:$T$25)&lt;2,"",IF($T$24&gt;$T$25,"V",IF($T$24&lt;$T$25,"D","Empate??")))</f>
        <v/>
      </c>
      <c r="AU39" s="191" t="str">
        <f>IF(COUNT($T$24:$T$25)&lt;2,"",$T$24)</f>
        <v/>
      </c>
      <c r="AV39" s="192" t="str">
        <f>IF(COUNT($T$24:$T$25)&lt;2,"",$T$25)</f>
        <v/>
      </c>
      <c r="AW39" s="193" t="str">
        <f t="shared" si="3"/>
        <v/>
      </c>
      <c r="AX39" s="192" t="str">
        <f>IF(COUNT($T$24:$T$25)&lt;2,"",SUM($U$24:$W$24))</f>
        <v/>
      </c>
      <c r="AY39" s="194" t="str">
        <f>IF(COUNT($T$24:$T$25)&lt;2,"",SUM($U$25:$W$25))</f>
        <v/>
      </c>
      <c r="AZ39" s="195" t="str">
        <f t="shared" si="2"/>
        <v/>
      </c>
    </row>
    <row r="40" spans="2:52" ht="15.75" hidden="1" customHeight="1">
      <c r="B40" s="126"/>
      <c r="C40" s="317" t="str">
        <f>IF(D13="","2º do grupo A",D13)</f>
        <v>2º do grupo A</v>
      </c>
      <c r="D40" s="318"/>
      <c r="E40" s="69"/>
      <c r="F40" s="69"/>
      <c r="G40" s="70"/>
      <c r="H40" s="35" t="str">
        <f>IF(COUNT(E40:G40)&lt;1,"",IF(SUM(IF(E38&lt;E40,1,0),IF(F38&lt;F40,1,0),IF(G38&lt;G40,1,0))&gt;2,"??",SUM(IF(E38&lt;E40,1,0),IF(F38&lt;F40,1,0),IF(G38&lt;G40,1,0))))</f>
        <v/>
      </c>
      <c r="I40" s="36"/>
      <c r="J40" s="40"/>
      <c r="K40" s="59"/>
      <c r="L40" s="55"/>
      <c r="M40" s="41"/>
      <c r="N40" s="41"/>
      <c r="O40" s="42"/>
      <c r="P40" s="36"/>
      <c r="Q40" s="51"/>
      <c r="R40" s="46"/>
      <c r="S40" s="55"/>
      <c r="T40" s="42"/>
      <c r="U40" s="42"/>
      <c r="V40" s="67"/>
      <c r="W40" s="50"/>
      <c r="X40" s="48"/>
      <c r="Y40" s="53"/>
      <c r="Z40" s="53"/>
      <c r="AA40" s="53"/>
      <c r="AB40" s="53"/>
      <c r="AC40" s="53"/>
      <c r="AD40" s="54"/>
      <c r="AE40" s="113"/>
      <c r="AN40" s="182">
        <f>IF($Q24="","",$Q24)</f>
        <v>21</v>
      </c>
      <c r="AO40" s="171" t="str">
        <f t="shared" si="6"/>
        <v>Grupo C</v>
      </c>
      <c r="AP40" s="367" t="str">
        <f>IF($R$25="","",$R$25)</f>
        <v/>
      </c>
      <c r="AQ40" s="368" t="str">
        <f t="shared" si="7"/>
        <v>Grupo A</v>
      </c>
      <c r="AR40" s="368" t="str">
        <f t="shared" si="7"/>
        <v>Grupo A</v>
      </c>
      <c r="AS40" s="369" t="str">
        <f t="shared" si="7"/>
        <v>Grupo A</v>
      </c>
      <c r="AT40" s="183" t="str">
        <f>IF(COUNT($T$24:$T$25)&lt;2,"",IF($T$24&lt;$T$25,"V",IF($T$24&gt;$T$25,"D","Empate??")))</f>
        <v/>
      </c>
      <c r="AU40" s="184" t="str">
        <f>IF(COUNT($T$24:$T$25)&lt;2,"",$T$25)</f>
        <v/>
      </c>
      <c r="AV40" s="185" t="str">
        <f>IF(COUNT($T$24:$T$25)&lt;2,"",$T$24)</f>
        <v/>
      </c>
      <c r="AW40" s="186" t="str">
        <f t="shared" si="3"/>
        <v/>
      </c>
      <c r="AX40" s="185" t="str">
        <f>IF(COUNT($T$24:$T$25)&lt;2,"",SUM($U$25:$W$25))</f>
        <v/>
      </c>
      <c r="AY40" s="187" t="str">
        <f>IF(COUNT($T$24:$T$25)&lt;2,"",SUM($U$24:$W$24))</f>
        <v/>
      </c>
      <c r="AZ40" s="188" t="str">
        <f t="shared" si="2"/>
        <v/>
      </c>
    </row>
    <row r="41" spans="2:52" ht="15.75" hidden="1" customHeight="1">
      <c r="B41" s="126"/>
      <c r="C41" s="68"/>
      <c r="D41" s="37"/>
      <c r="E41" s="55"/>
      <c r="F41" s="42"/>
      <c r="G41" s="44"/>
      <c r="H41" s="121"/>
      <c r="I41" s="55"/>
      <c r="J41" s="40"/>
      <c r="K41" s="59"/>
      <c r="L41" s="55"/>
      <c r="M41" s="42"/>
      <c r="N41" s="42"/>
      <c r="O41" s="64">
        <v>30</v>
      </c>
      <c r="P41" s="322" t="str">
        <f>IF(OR(O39="",O43="")=TRUE,"Final-Jogador2",IF(O39&gt;O43,I39,I43))</f>
        <v>Final-Jogador2</v>
      </c>
      <c r="Q41" s="317"/>
      <c r="R41" s="317"/>
      <c r="S41" s="318"/>
      <c r="T41" s="69"/>
      <c r="U41" s="69"/>
      <c r="V41" s="69"/>
      <c r="W41" s="45" t="str">
        <f>IF(COUNT(T41:V41)&lt;1,"",IF(SUM(IF(T33&lt;T41,1,0),IF(U33&lt;U41,1,0),IF(V33&lt;V41,1,0))&gt;2,"??",SUM(IF(T33&lt;T41,1,0),IF(U33&lt;U41,1,0),IF(V33&lt;V41,1,0))))</f>
        <v/>
      </c>
      <c r="X41" s="48"/>
      <c r="Y41" s="53"/>
      <c r="Z41" s="53"/>
      <c r="AA41" s="53"/>
      <c r="AB41" s="53"/>
      <c r="AC41" s="53"/>
      <c r="AD41" s="54"/>
      <c r="AE41" s="113"/>
      <c r="AN41" s="189">
        <f>IF($Q26="","",$Q26)</f>
        <v>22</v>
      </c>
      <c r="AO41" s="172" t="str">
        <f t="shared" si="6"/>
        <v>Grupo C</v>
      </c>
      <c r="AP41" s="364" t="str">
        <f>IF($R$26="","",$R$26)</f>
        <v>M Henriques/F Seita (Lisboa)</v>
      </c>
      <c r="AQ41" s="365" t="str">
        <f t="shared" si="7"/>
        <v>Grupo A</v>
      </c>
      <c r="AR41" s="365" t="str">
        <f t="shared" si="7"/>
        <v>Grupo A</v>
      </c>
      <c r="AS41" s="366" t="str">
        <f t="shared" si="7"/>
        <v>Grupo A</v>
      </c>
      <c r="AT41" s="190" t="str">
        <f>IF(COUNT($T$26:$T$27)&lt;2,"",IF($T$26&gt;$T$27,"V",IF($T$26&lt;$T$27,"D","Empate??")))</f>
        <v/>
      </c>
      <c r="AU41" s="191" t="str">
        <f>IF(COUNT($T$26:$T$27)&lt;2,"",$T$26)</f>
        <v/>
      </c>
      <c r="AV41" s="192" t="str">
        <f>IF(COUNT($T$26:$T$27)&lt;2,"",$T$27)</f>
        <v/>
      </c>
      <c r="AW41" s="193" t="str">
        <f t="shared" si="3"/>
        <v/>
      </c>
      <c r="AX41" s="192" t="str">
        <f>IF(COUNT($T$26:$T$27)&lt;2,"",SUM($U$26:$W$26))</f>
        <v/>
      </c>
      <c r="AY41" s="194" t="str">
        <f>IF(COUNT($T$26:$T$27)&lt;2,"",SUM($U$27:$W$27))</f>
        <v/>
      </c>
      <c r="AZ41" s="195" t="str">
        <f t="shared" si="2"/>
        <v/>
      </c>
    </row>
    <row r="42" spans="2:52" ht="15.75" hidden="1" customHeight="1" thickBot="1">
      <c r="B42" s="126"/>
      <c r="C42" s="317" t="str">
        <f>IF(R13="","2º do grupo C",R13)</f>
        <v>2º do grupo C</v>
      </c>
      <c r="D42" s="318"/>
      <c r="E42" s="69"/>
      <c r="F42" s="69"/>
      <c r="G42" s="70"/>
      <c r="H42" s="35" t="str">
        <f>IF(COUNT(E42:G42)&lt;1,"",IF(SUM(IF(E42&gt;E44,1,0),IF(F42&gt;F44,1,0),IF(G42&gt;G44,1,0))&gt;2,"??",SUM(IF(E42&gt;E44,1,0),IF(F42&gt;F44,1,0),IF(G42&gt;G44,1,0))))</f>
        <v/>
      </c>
      <c r="I42" s="36"/>
      <c r="J42" s="40"/>
      <c r="K42" s="59"/>
      <c r="L42" s="55"/>
      <c r="M42" s="42"/>
      <c r="N42" s="42"/>
      <c r="O42" s="42"/>
      <c r="P42" s="36"/>
      <c r="Q42" s="40"/>
      <c r="R42" s="55"/>
      <c r="S42" s="46"/>
      <c r="T42" s="55"/>
      <c r="U42" s="55"/>
      <c r="V42" s="60"/>
      <c r="W42" s="53"/>
      <c r="X42" s="48"/>
      <c r="Y42" s="53"/>
      <c r="Z42" s="53"/>
      <c r="AA42" s="53"/>
      <c r="AB42" s="53"/>
      <c r="AC42" s="53"/>
      <c r="AD42" s="54"/>
      <c r="AE42" s="113"/>
      <c r="AN42" s="196">
        <f>IF($Q26="","",$Q26)</f>
        <v>22</v>
      </c>
      <c r="AO42" s="175" t="str">
        <f t="shared" si="6"/>
        <v>Grupo C</v>
      </c>
      <c r="AP42" s="358" t="str">
        <f>IF($R$27="","",$R$27)</f>
        <v>M Eiras/S Veiga (Norte)</v>
      </c>
      <c r="AQ42" s="359" t="str">
        <f t="shared" si="7"/>
        <v>Grupo A</v>
      </c>
      <c r="AR42" s="359" t="str">
        <f t="shared" si="7"/>
        <v>Grupo A</v>
      </c>
      <c r="AS42" s="360" t="str">
        <f t="shared" si="7"/>
        <v>Grupo A</v>
      </c>
      <c r="AT42" s="176" t="str">
        <f>IF(COUNT($T$26:$T$27)&lt;2,"",IF($T$26&lt;$T$27,"V",IF($T$26&gt;$T$27,"D","Empate??")))</f>
        <v/>
      </c>
      <c r="AU42" s="177" t="str">
        <f>IF(COUNT($T$26:$T$27)&lt;2,"",$T$27)</f>
        <v/>
      </c>
      <c r="AV42" s="178" t="str">
        <f>IF(COUNT($T$26:$T$27)&lt;2,"",$T$26)</f>
        <v/>
      </c>
      <c r="AW42" s="179" t="str">
        <f t="shared" si="3"/>
        <v/>
      </c>
      <c r="AX42" s="178" t="str">
        <f>IF(COUNT($T$26:$T$27)&lt;2,"",SUM($U$27:$W$27))</f>
        <v/>
      </c>
      <c r="AY42" s="180" t="str">
        <f>IF(COUNT($T$26:$T$27)&lt;2,"",SUM($U$26:$W$26))</f>
        <v/>
      </c>
      <c r="AZ42" s="181" t="str">
        <f t="shared" si="2"/>
        <v/>
      </c>
    </row>
    <row r="43" spans="2:52" ht="15.75" hidden="1" customHeight="1">
      <c r="B43" s="126"/>
      <c r="C43" s="68"/>
      <c r="D43" s="37"/>
      <c r="E43" s="55"/>
      <c r="F43" s="42"/>
      <c r="G43" s="44"/>
      <c r="H43" s="63">
        <v>28</v>
      </c>
      <c r="I43" s="322" t="str">
        <f>IF(OR(H42="",H44="")=TRUE,"2ª Meia Final-Jogador2",IF(H42&gt;H44,C42,C44))</f>
        <v>2ª Meia Final-Jogador2</v>
      </c>
      <c r="J43" s="317"/>
      <c r="K43" s="318"/>
      <c r="L43" s="69"/>
      <c r="M43" s="69"/>
      <c r="N43" s="70"/>
      <c r="O43" s="35" t="str">
        <f>IF(COUNT(L43:N43)&lt;1,"",IF(SUM(IF(L39&lt;L43,1,0),IF(M39&lt;M43,1,0),IF(N39&lt;N43,1,0))&gt;2,"??",SUM(IF(L39&lt;L43,1,0),IF(M39&lt;M43,1,0),IF(N39&lt;N43,1,0))))</f>
        <v/>
      </c>
      <c r="P43" s="36"/>
      <c r="Q43" s="40"/>
      <c r="R43" s="55"/>
      <c r="S43" s="55"/>
      <c r="T43" s="55"/>
      <c r="U43" s="55"/>
      <c r="V43" s="55"/>
      <c r="W43" s="54"/>
      <c r="X43" s="68"/>
      <c r="Y43" s="54"/>
      <c r="Z43" s="54"/>
      <c r="AA43" s="54"/>
      <c r="AB43" s="54"/>
      <c r="AC43" s="54"/>
      <c r="AD43" s="54"/>
      <c r="AE43" s="113"/>
      <c r="AN43" s="197">
        <f>IF($X16="","",$X16)</f>
        <v>7</v>
      </c>
      <c r="AO43" s="198" t="str">
        <f>IF($X$5="","",$X$5)</f>
        <v>Grupo D</v>
      </c>
      <c r="AP43" s="361" t="str">
        <f>IF($Y$16="","",$Y$16)</f>
        <v>L Pala/F Silva (Centro)</v>
      </c>
      <c r="AQ43" s="362" t="str">
        <f t="shared" si="7"/>
        <v>Grupo A</v>
      </c>
      <c r="AR43" s="362" t="str">
        <f t="shared" si="7"/>
        <v>Grupo A</v>
      </c>
      <c r="AS43" s="363" t="str">
        <f t="shared" si="7"/>
        <v>Grupo A</v>
      </c>
      <c r="AT43" s="199" t="str">
        <f>IF(COUNT($AA$16:$AA$17)&lt;2,"",IF($AA$16&gt;$AA$17,"V",IF($AA$16&lt;$AA$17,"D","Empate??")))</f>
        <v/>
      </c>
      <c r="AU43" s="200" t="str">
        <f>IF(COUNT($AA$16:$AA$17)&lt;2,"",$AA$16)</f>
        <v/>
      </c>
      <c r="AV43" s="201" t="str">
        <f>IF(COUNT($AA$16:$AA$17)&lt;2,"",$AA$17)</f>
        <v/>
      </c>
      <c r="AW43" s="202" t="str">
        <f t="shared" si="3"/>
        <v/>
      </c>
      <c r="AX43" s="201" t="str">
        <f>IF(COUNT($AA$16:$AA$17)&lt;2,"",SUM($AB$16:$AD$16))</f>
        <v/>
      </c>
      <c r="AY43" s="203" t="str">
        <f>IF(COUNT($AA$16:$AA$17)&lt;2,"",SUM($AB$17:$AD$17))</f>
        <v/>
      </c>
      <c r="AZ43" s="204" t="str">
        <f t="shared" si="2"/>
        <v/>
      </c>
    </row>
    <row r="44" spans="2:52" ht="15.75" hidden="1" customHeight="1">
      <c r="B44" s="126"/>
      <c r="C44" s="317" t="str">
        <f>IF(Y12="","1º do grupo D",Y12)</f>
        <v>1º do grupo D</v>
      </c>
      <c r="D44" s="318"/>
      <c r="E44" s="69"/>
      <c r="F44" s="69"/>
      <c r="G44" s="70"/>
      <c r="H44" s="35" t="str">
        <f>IF(COUNT(E44:G44)&lt;1,"",IF(SUM(IF(E42&lt;E44,1,0),IF(F42&lt;F44,1,0),IF(G42&lt;G44,1,0))&gt;2,"??",SUM(IF(E42&lt;E44,1,0),IF(F42&lt;F44,1,0),IF(G42&lt;G44,1,0))))</f>
        <v/>
      </c>
      <c r="I44" s="36"/>
      <c r="J44" s="40"/>
      <c r="K44" s="55"/>
      <c r="L44" s="46"/>
      <c r="M44" s="55"/>
      <c r="N44" s="55"/>
      <c r="O44" s="55"/>
      <c r="P44" s="55"/>
      <c r="Q44" s="40"/>
      <c r="R44" s="55"/>
      <c r="S44" s="55"/>
      <c r="T44" s="55"/>
      <c r="U44" s="55"/>
      <c r="V44" s="55"/>
      <c r="W44" s="54"/>
      <c r="X44" s="68"/>
      <c r="Y44" s="54"/>
      <c r="Z44" s="54"/>
      <c r="AA44" s="54"/>
      <c r="AB44" s="54"/>
      <c r="AC44" s="54"/>
      <c r="AD44" s="54"/>
      <c r="AE44" s="113"/>
      <c r="AN44" s="205">
        <f>IF($X16="","",$X16)</f>
        <v>7</v>
      </c>
      <c r="AO44" s="206" t="str">
        <f t="shared" ref="AO44:AO54" si="8">IF($X$5="","",$X$5)</f>
        <v>Grupo D</v>
      </c>
      <c r="AP44" s="346" t="str">
        <f>IF($Y$17="","",$Y$17)</f>
        <v/>
      </c>
      <c r="AQ44" s="347" t="str">
        <f t="shared" si="7"/>
        <v>Grupo A</v>
      </c>
      <c r="AR44" s="347" t="str">
        <f t="shared" si="7"/>
        <v>Grupo A</v>
      </c>
      <c r="AS44" s="348" t="str">
        <f t="shared" si="7"/>
        <v>Grupo A</v>
      </c>
      <c r="AT44" s="207" t="str">
        <f>IF(COUNT($AA$16:$AA$17)&lt;2,"",IF($AA$16&lt;$AA$17,"V",IF($AA$16&gt;$AA$17,"D","Empate??")))</f>
        <v/>
      </c>
      <c r="AU44" s="208" t="str">
        <f>IF(COUNT($AA$16:$AA$17)&lt;2,"",$AA$17)</f>
        <v/>
      </c>
      <c r="AV44" s="209" t="str">
        <f>IF(COUNT($AA$16:$AA$17)&lt;2,"",$AA$16)</f>
        <v/>
      </c>
      <c r="AW44" s="210" t="str">
        <f t="shared" si="3"/>
        <v/>
      </c>
      <c r="AX44" s="209" t="str">
        <f>IF(COUNT($AA$16:$AA$17)&lt;2,"",SUM($AB$17:$AD$17))</f>
        <v/>
      </c>
      <c r="AY44" s="211" t="str">
        <f>IF(COUNT($AA$16:$AA$17)&lt;2,"",SUM($AB$16:$AD$16))</f>
        <v/>
      </c>
      <c r="AZ44" s="212" t="str">
        <f t="shared" si="2"/>
        <v/>
      </c>
    </row>
    <row r="45" spans="2:52" ht="11.25" hidden="1" customHeight="1">
      <c r="B45" s="128"/>
      <c r="C45" s="123"/>
      <c r="D45" s="129"/>
      <c r="E45" s="122"/>
      <c r="F45" s="122"/>
      <c r="G45" s="122"/>
      <c r="H45" s="122"/>
      <c r="I45" s="122"/>
      <c r="J45" s="123"/>
      <c r="K45" s="122"/>
      <c r="L45" s="122"/>
      <c r="M45" s="122"/>
      <c r="N45" s="122"/>
      <c r="O45" s="122"/>
      <c r="P45" s="122"/>
      <c r="Q45" s="123"/>
      <c r="R45" s="122"/>
      <c r="S45" s="122"/>
      <c r="T45" s="122"/>
      <c r="U45" s="122"/>
      <c r="V45" s="122"/>
      <c r="W45" s="122"/>
      <c r="X45" s="123"/>
      <c r="Y45" s="122"/>
      <c r="Z45" s="122"/>
      <c r="AA45" s="122"/>
      <c r="AB45" s="122"/>
      <c r="AC45" s="122"/>
      <c r="AD45" s="122"/>
      <c r="AE45" s="124"/>
      <c r="AN45" s="213">
        <f>IF($X18="","",$X18)</f>
        <v>8</v>
      </c>
      <c r="AO45" s="214" t="str">
        <f t="shared" si="8"/>
        <v>Grupo D</v>
      </c>
      <c r="AP45" s="349" t="str">
        <f>IF($Y$18="","",$Y$18)</f>
        <v>M Maia/A Bacelar (Norte)</v>
      </c>
      <c r="AQ45" s="350" t="str">
        <f t="shared" si="7"/>
        <v>Grupo A</v>
      </c>
      <c r="AR45" s="350" t="str">
        <f t="shared" si="7"/>
        <v>Grupo A</v>
      </c>
      <c r="AS45" s="351" t="str">
        <f t="shared" si="7"/>
        <v>Grupo A</v>
      </c>
      <c r="AT45" s="215" t="str">
        <f>IF(COUNT($AA$18:$AA$19)&lt;2,"",IF($AA$18&gt;$AA$19,"V",IF($AA$18&lt;$AA$19,"D","Empate??")))</f>
        <v/>
      </c>
      <c r="AU45" s="216" t="str">
        <f>IF(COUNT($AA$18:$AA$19)&lt;2,"",$AA$18)</f>
        <v/>
      </c>
      <c r="AV45" s="217" t="str">
        <f>IF(COUNT($AA$18:$AA$19)&lt;2,"",$AA$19)</f>
        <v/>
      </c>
      <c r="AW45" s="218" t="str">
        <f t="shared" si="3"/>
        <v/>
      </c>
      <c r="AX45" s="217" t="str">
        <f>IF(COUNT($AA$18:$AA$19)&lt;2,"",SUM($AB$18:$AD$18))</f>
        <v/>
      </c>
      <c r="AY45" s="219" t="str">
        <f>IF(COUNT($AA$18:$AA$19)&lt;2,"",SUM($AB$19:$AD$19))</f>
        <v/>
      </c>
      <c r="AZ45" s="220" t="str">
        <f t="shared" si="2"/>
        <v/>
      </c>
    </row>
    <row r="46" spans="2:52" ht="4.5" hidden="1" customHeight="1">
      <c r="AN46" s="205">
        <f>IF($X18="","",$X18)</f>
        <v>8</v>
      </c>
      <c r="AO46" s="206" t="str">
        <f t="shared" si="8"/>
        <v>Grupo D</v>
      </c>
      <c r="AP46" s="346" t="str">
        <f>IF($Y$19="","",$Y$19)</f>
        <v/>
      </c>
      <c r="AQ46" s="347" t="str">
        <f t="shared" si="7"/>
        <v>Grupo A</v>
      </c>
      <c r="AR46" s="347" t="str">
        <f t="shared" si="7"/>
        <v>Grupo A</v>
      </c>
      <c r="AS46" s="348" t="str">
        <f t="shared" si="7"/>
        <v>Grupo A</v>
      </c>
      <c r="AT46" s="207" t="str">
        <f>IF(COUNT($AA$18:$AA$19)&lt;2,"",IF($AA$18&lt;$AA$19,"V",IF($AA$18&gt;$AA$19,"D","Empate??")))</f>
        <v/>
      </c>
      <c r="AU46" s="208" t="str">
        <f>IF(COUNT($AA$18:$AA$19)&lt;2,"",$AA$19)</f>
        <v/>
      </c>
      <c r="AV46" s="209" t="str">
        <f>IF(COUNT($AA$18:$AA$19)&lt;2,"",$AA$18)</f>
        <v/>
      </c>
      <c r="AW46" s="210" t="str">
        <f t="shared" si="3"/>
        <v/>
      </c>
      <c r="AX46" s="209" t="str">
        <f>IF(COUNT($AA$18:$AA$19)&lt;2,"",SUM($AB$19:$AD$19))</f>
        <v/>
      </c>
      <c r="AY46" s="211" t="str">
        <f>IF(COUNT($AA$18:$AA$19)&lt;2,"",SUM($AB$18:$AD$18))</f>
        <v/>
      </c>
      <c r="AZ46" s="212" t="str">
        <f t="shared" si="2"/>
        <v/>
      </c>
    </row>
    <row r="47" spans="2:52" ht="13.5" hidden="1" thickBot="1">
      <c r="D47" s="54"/>
      <c r="H47" s="125"/>
      <c r="I47" s="61"/>
      <c r="J47" s="167"/>
      <c r="K47" s="61"/>
      <c r="L47" s="61"/>
      <c r="M47" s="61"/>
      <c r="N47" s="61"/>
      <c r="O47" s="61"/>
      <c r="P47" s="61"/>
      <c r="Q47" s="167"/>
      <c r="R47" s="61"/>
      <c r="S47" s="61"/>
      <c r="T47" s="61"/>
      <c r="U47" s="61"/>
      <c r="V47" s="61"/>
      <c r="W47" s="61"/>
      <c r="X47" s="167"/>
      <c r="Y47" s="61"/>
      <c r="Z47" s="61"/>
      <c r="AA47" s="61"/>
      <c r="AB47" s="61"/>
      <c r="AC47" s="61"/>
      <c r="AD47" s="61"/>
      <c r="AE47" s="3"/>
      <c r="AN47" s="221">
        <f>IF($X20="","",$X20)</f>
        <v>15</v>
      </c>
      <c r="AO47" s="222" t="str">
        <f t="shared" si="8"/>
        <v>Grupo D</v>
      </c>
      <c r="AP47" s="349" t="str">
        <f>IF($Y$20="","",$Y$20)</f>
        <v/>
      </c>
      <c r="AQ47" s="350" t="str">
        <f t="shared" si="7"/>
        <v>Grupo A</v>
      </c>
      <c r="AR47" s="350" t="str">
        <f t="shared" si="7"/>
        <v>Grupo A</v>
      </c>
      <c r="AS47" s="351" t="str">
        <f t="shared" si="7"/>
        <v>Grupo A</v>
      </c>
      <c r="AT47" s="223" t="str">
        <f>IF(COUNT($AA$20:$AA$21)&lt;2,"",IF($AA$20&gt;$AA$21,"V",IF($AA$20&lt;$AA$21,"D","Empate??")))</f>
        <v/>
      </c>
      <c r="AU47" s="224" t="str">
        <f>IF(COUNT($AA$20:$AA$21)&lt;2,"",$AA$20)</f>
        <v/>
      </c>
      <c r="AV47" s="225" t="str">
        <f>IF(COUNT($AA$20:$AA$21)&lt;2,"",$AA$21)</f>
        <v/>
      </c>
      <c r="AW47" s="226" t="str">
        <f t="shared" si="3"/>
        <v/>
      </c>
      <c r="AX47" s="225" t="str">
        <f>IF(COUNT($AA$20:$AA$21)&lt;2,"",SUM($AB$20:$AD$20))</f>
        <v/>
      </c>
      <c r="AY47" s="227" t="str">
        <f>IF(COUNT($AA$20:$AA$21)&lt;2,"",SUM($AB$21:$AD$21))</f>
        <v/>
      </c>
      <c r="AZ47" s="228" t="str">
        <f t="shared" si="2"/>
        <v/>
      </c>
    </row>
    <row r="48" spans="2:52" hidden="1">
      <c r="D48" s="54"/>
      <c r="H48" s="126"/>
      <c r="I48" s="336" t="s">
        <v>49</v>
      </c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  <c r="V48" s="336"/>
      <c r="W48" s="336"/>
      <c r="X48" s="68"/>
      <c r="Y48" s="337" t="s">
        <v>0</v>
      </c>
      <c r="Z48" s="338"/>
      <c r="AA48" s="338"/>
      <c r="AB48" s="338"/>
      <c r="AC48" s="338"/>
      <c r="AD48" s="339"/>
      <c r="AE48" s="113"/>
      <c r="AN48" s="205">
        <f>IF($X20="","",$X20)</f>
        <v>15</v>
      </c>
      <c r="AO48" s="206" t="str">
        <f t="shared" si="8"/>
        <v>Grupo D</v>
      </c>
      <c r="AP48" s="346" t="str">
        <f>IF($Y$21="","",$Y$21)</f>
        <v/>
      </c>
      <c r="AQ48" s="347" t="str">
        <f t="shared" si="7"/>
        <v>Grupo A</v>
      </c>
      <c r="AR48" s="347" t="str">
        <f t="shared" si="7"/>
        <v>Grupo A</v>
      </c>
      <c r="AS48" s="348" t="str">
        <f t="shared" si="7"/>
        <v>Grupo A</v>
      </c>
      <c r="AT48" s="207" t="str">
        <f>IF(COUNT($AA$20:$AA$21)&lt;2,"",IF($AA$20&lt;$AA$21,"V",IF($AA$20&gt;$AA$21,"D","Empate??")))</f>
        <v/>
      </c>
      <c r="AU48" s="208" t="str">
        <f>IF(COUNT($AA$20:$AA$21)&lt;2,"",$AA$21)</f>
        <v/>
      </c>
      <c r="AV48" s="209" t="str">
        <f>IF(COUNT($AA$20:$AA$21)&lt;2,"",$AA$20)</f>
        <v/>
      </c>
      <c r="AW48" s="210" t="str">
        <f t="shared" si="3"/>
        <v/>
      </c>
      <c r="AX48" s="209" t="str">
        <f>IF(COUNT($AA$20:$AA$21)&lt;2,"",SUM($AB$21:$AD$21))</f>
        <v/>
      </c>
      <c r="AY48" s="211" t="str">
        <f>IF(COUNT($AA$20:$AA$21)&lt;2,"",SUM($AB$20:$AD$20))</f>
        <v/>
      </c>
      <c r="AZ48" s="212" t="str">
        <f t="shared" si="2"/>
        <v/>
      </c>
    </row>
    <row r="49" spans="2:54" ht="13.5" hidden="1" thickBot="1">
      <c r="B49" s="357"/>
      <c r="C49" s="357"/>
      <c r="D49" s="357"/>
      <c r="E49" s="258"/>
      <c r="H49" s="126"/>
      <c r="I49" s="336"/>
      <c r="J49" s="336"/>
      <c r="K49" s="336"/>
      <c r="L49" s="336"/>
      <c r="M49" s="336"/>
      <c r="N49" s="336"/>
      <c r="O49" s="336"/>
      <c r="P49" s="336"/>
      <c r="Q49" s="336"/>
      <c r="R49" s="336"/>
      <c r="S49" s="336"/>
      <c r="T49" s="336"/>
      <c r="U49" s="336"/>
      <c r="V49" s="336"/>
      <c r="W49" s="336"/>
      <c r="X49" s="68"/>
      <c r="Y49" s="340"/>
      <c r="Z49" s="341"/>
      <c r="AA49" s="341"/>
      <c r="AB49" s="341"/>
      <c r="AC49" s="341"/>
      <c r="AD49" s="342"/>
      <c r="AE49" s="113"/>
      <c r="AN49" s="221">
        <f>IF($X22="","",$X22)</f>
        <v>16</v>
      </c>
      <c r="AO49" s="222" t="str">
        <f t="shared" si="8"/>
        <v>Grupo D</v>
      </c>
      <c r="AP49" s="349" t="str">
        <f>IF($Y$22="","",$Y$22)</f>
        <v>L Pala/F Silva (Centro)</v>
      </c>
      <c r="AQ49" s="350" t="str">
        <f t="shared" si="7"/>
        <v>Grupo A</v>
      </c>
      <c r="AR49" s="350" t="str">
        <f t="shared" si="7"/>
        <v>Grupo A</v>
      </c>
      <c r="AS49" s="351" t="str">
        <f t="shared" si="7"/>
        <v>Grupo A</v>
      </c>
      <c r="AT49" s="223" t="str">
        <f>IF(COUNT($AA$22:$AA$23)&lt;2,"",IF($AA$22&gt;$AA$23,"V",IF($AA$22&lt;$AA$23,"D","Empate??")))</f>
        <v/>
      </c>
      <c r="AU49" s="224" t="str">
        <f>IF(COUNT($AA$22:$AA$23)&lt;2,"",$AA$22)</f>
        <v/>
      </c>
      <c r="AV49" s="225" t="str">
        <f>IF(COUNT($AA$22:$AA$23)&lt;2,"",$AA$23)</f>
        <v/>
      </c>
      <c r="AW49" s="226" t="str">
        <f t="shared" si="3"/>
        <v/>
      </c>
      <c r="AX49" s="225" t="str">
        <f>IF(COUNT($AA$22:$AA$23)&lt;2,"",SUM($AB$22:$AD$22))</f>
        <v/>
      </c>
      <c r="AY49" s="227" t="str">
        <f>IF(COUNT($AA$22:$AA$23)&lt;2,"",SUM($AB$23:$AD$23))</f>
        <v/>
      </c>
      <c r="AZ49" s="228" t="str">
        <f t="shared" si="2"/>
        <v/>
      </c>
    </row>
    <row r="50" spans="2:54" ht="15.75" hidden="1">
      <c r="H50" s="126"/>
      <c r="I50" s="317" t="str">
        <f>IF(I31="1ª Meia Final-Jogador1",CONCATENATE("Vencido do jogo ",H31),IF(I31=C30,C32,C30))</f>
        <v>Vencido do jogo 25</v>
      </c>
      <c r="J50" s="317"/>
      <c r="K50" s="318"/>
      <c r="L50" s="69"/>
      <c r="M50" s="69"/>
      <c r="N50" s="70"/>
      <c r="O50" s="38" t="str">
        <f>IF(COUNT(L50:N50)&lt;1,"",IF(SUM(IF(L50&gt;L54,1,0),IF(M50&gt;M54,1,0),IF(N50&gt;N54,1,0))&gt;2,"??",SUM(IF(L50&gt;L54,1,0),IF(M50&gt;M54,1,0),IF(N50&gt;N54,1,0))))</f>
        <v/>
      </c>
      <c r="P50" s="55"/>
      <c r="Q50" s="40"/>
      <c r="R50" s="55"/>
      <c r="S50" s="55"/>
      <c r="T50" s="55"/>
      <c r="U50" s="55"/>
      <c r="V50" s="55"/>
      <c r="W50" s="54"/>
      <c r="X50" s="68"/>
      <c r="Y50" s="343" t="str">
        <f>IF(X56="5º Classificado","",X56)</f>
        <v/>
      </c>
      <c r="Z50" s="344"/>
      <c r="AA50" s="344"/>
      <c r="AB50" s="344"/>
      <c r="AC50" s="344"/>
      <c r="AD50" s="39" t="s">
        <v>37</v>
      </c>
      <c r="AE50" s="113"/>
      <c r="AN50" s="205">
        <f>IF($X22="","",$X22)</f>
        <v>16</v>
      </c>
      <c r="AO50" s="206" t="str">
        <f t="shared" si="8"/>
        <v>Grupo D</v>
      </c>
      <c r="AP50" s="346" t="str">
        <f>IF($Y$23="","",$Y$23)</f>
        <v>M Maia/A Bacelar (Norte)</v>
      </c>
      <c r="AQ50" s="347" t="str">
        <f t="shared" si="7"/>
        <v>Grupo A</v>
      </c>
      <c r="AR50" s="347" t="str">
        <f t="shared" si="7"/>
        <v>Grupo A</v>
      </c>
      <c r="AS50" s="348" t="str">
        <f t="shared" si="7"/>
        <v>Grupo A</v>
      </c>
      <c r="AT50" s="207" t="str">
        <f>IF(COUNT($AA$22:$AA$23)&lt;2,"",IF($AA$22&lt;$AA$23,"V",IF($AA$22&gt;$AA$23,"D","Empate??")))</f>
        <v/>
      </c>
      <c r="AU50" s="208" t="str">
        <f>IF(COUNT($AA$22:$AA$23)&lt;2,"",$AA$23)</f>
        <v/>
      </c>
      <c r="AV50" s="209" t="str">
        <f>IF(COUNT($AA$22:$AA$23)&lt;2,"",$AA$22)</f>
        <v/>
      </c>
      <c r="AW50" s="210" t="str">
        <f t="shared" si="3"/>
        <v/>
      </c>
      <c r="AX50" s="209" t="str">
        <f>IF(COUNT($AA$22:$AA$23)&lt;2,"",SUM($AB$23:$AD$23))</f>
        <v/>
      </c>
      <c r="AY50" s="211" t="str">
        <f>IF(COUNT($AA$22:$AA$23)&lt;2,"",SUM($AB$22:$AD$22))</f>
        <v/>
      </c>
      <c r="AZ50" s="212" t="str">
        <f t="shared" si="2"/>
        <v/>
      </c>
    </row>
    <row r="51" spans="2:54" ht="15" hidden="1" customHeight="1">
      <c r="H51" s="126"/>
      <c r="I51" s="55"/>
      <c r="J51" s="40"/>
      <c r="K51" s="59"/>
      <c r="L51" s="55"/>
      <c r="M51" s="41"/>
      <c r="N51" s="41"/>
      <c r="O51" s="42"/>
      <c r="P51" s="36"/>
      <c r="Q51" s="40"/>
      <c r="R51" s="55"/>
      <c r="S51" s="55"/>
      <c r="T51" s="55"/>
      <c r="U51" s="55"/>
      <c r="V51" s="60"/>
      <c r="W51" s="53"/>
      <c r="X51" s="48"/>
      <c r="Y51" s="332" t="str">
        <f>IF(Y50="","",IF(Y50=P52,P60,P52))</f>
        <v/>
      </c>
      <c r="Z51" s="333" t="e">
        <f>IF(#REF!="","",IF(#REF!=W51,"","(2º) "))</f>
        <v>#REF!</v>
      </c>
      <c r="AA51" s="333" t="e">
        <f>IF(#REF!="","",IF(#REF!=X51,"","(2º) "))</f>
        <v>#REF!</v>
      </c>
      <c r="AB51" s="333" t="e">
        <f>IF(#REF!="","",IF(#REF!=Y51,"","(2º) "))</f>
        <v>#REF!</v>
      </c>
      <c r="AC51" s="333" t="e">
        <f>IF(#REF!="","",IF(#REF!=Z51,"","(2º) "))</f>
        <v>#REF!</v>
      </c>
      <c r="AD51" s="43" t="s">
        <v>38</v>
      </c>
      <c r="AE51" s="113"/>
      <c r="AN51" s="221">
        <f>IF($X24="","",$X24)</f>
        <v>23</v>
      </c>
      <c r="AO51" s="222" t="str">
        <f t="shared" si="8"/>
        <v>Grupo D</v>
      </c>
      <c r="AP51" s="349" t="str">
        <f>IF($Y$24="","",$Y$24)</f>
        <v>M Maia/A Bacelar (Norte)</v>
      </c>
      <c r="AQ51" s="350" t="str">
        <f t="shared" si="7"/>
        <v>Grupo A</v>
      </c>
      <c r="AR51" s="350" t="str">
        <f t="shared" si="7"/>
        <v>Grupo A</v>
      </c>
      <c r="AS51" s="351" t="str">
        <f t="shared" si="7"/>
        <v>Grupo A</v>
      </c>
      <c r="AT51" s="223" t="str">
        <f>IF(COUNT($AA$24:$AA$25)&lt;2,"",IF($AA$24&gt;$AA$25,"V",IF($AA$24&lt;$AA$25,"D","Empate??")))</f>
        <v/>
      </c>
      <c r="AU51" s="224" t="str">
        <f>IF(COUNT($AA$24:$AA$25)&lt;2,"",$AA$24)</f>
        <v/>
      </c>
      <c r="AV51" s="225" t="str">
        <f>IF(COUNT($AA$24:$AA$25)&lt;2,"",$AA$25)</f>
        <v/>
      </c>
      <c r="AW51" s="226" t="str">
        <f t="shared" si="3"/>
        <v/>
      </c>
      <c r="AX51" s="225" t="str">
        <f>IF(COUNT($AA$24:$AA$25)&lt;2,"",SUM($AB$24:$AD$24))</f>
        <v/>
      </c>
      <c r="AY51" s="227" t="str">
        <f>IF(COUNT($AA$24:$AA$25)&lt;2,"",SUM($AB$25:$AD$25))</f>
        <v/>
      </c>
      <c r="AZ51" s="228" t="str">
        <f t="shared" si="2"/>
        <v/>
      </c>
    </row>
    <row r="52" spans="2:54" ht="15" hidden="1" customHeight="1">
      <c r="H52" s="126"/>
      <c r="I52" s="55"/>
      <c r="J52" s="40"/>
      <c r="K52" s="59"/>
      <c r="L52" s="55"/>
      <c r="M52" s="42"/>
      <c r="N52" s="42"/>
      <c r="O52" s="64">
        <v>33</v>
      </c>
      <c r="P52" s="322" t="str">
        <f>IF(OR(O50="",O54="")=TRUE,"Disputa 5º/6º Jogador1",IF(O50&gt;O54,I50,I54))</f>
        <v>Disputa 5º/6º Jogador1</v>
      </c>
      <c r="Q52" s="317"/>
      <c r="R52" s="317"/>
      <c r="S52" s="318"/>
      <c r="T52" s="69"/>
      <c r="U52" s="69"/>
      <c r="V52" s="69"/>
      <c r="W52" s="45" t="str">
        <f>IF(COUNT(T52:V52)&lt;1,"",IF(SUM(IF(T52&gt;T60,1,0),IF(U52&gt;U60,1,0),IF(V52&gt;V60,1,0))&gt;2,"??",SUM(IF(T52&gt;T60,1,0),IF(U52&gt;U60,1,0),IF(V52&gt;V60,1,0))))</f>
        <v/>
      </c>
      <c r="X52" s="48"/>
      <c r="Y52" s="332" t="str">
        <f>IF(P56="7º Classificado","",P56)</f>
        <v/>
      </c>
      <c r="Z52" s="333"/>
      <c r="AA52" s="333"/>
      <c r="AB52" s="333"/>
      <c r="AC52" s="333"/>
      <c r="AD52" s="43" t="s">
        <v>39</v>
      </c>
      <c r="AE52" s="113"/>
      <c r="AN52" s="205">
        <f>IF($X24="","",$X24)</f>
        <v>23</v>
      </c>
      <c r="AO52" s="206" t="str">
        <f t="shared" si="8"/>
        <v>Grupo D</v>
      </c>
      <c r="AP52" s="346" t="str">
        <f>IF($Y$25="","",$Y$25)</f>
        <v/>
      </c>
      <c r="AQ52" s="347" t="str">
        <f t="shared" si="7"/>
        <v>Grupo A</v>
      </c>
      <c r="AR52" s="347" t="str">
        <f t="shared" si="7"/>
        <v>Grupo A</v>
      </c>
      <c r="AS52" s="348" t="str">
        <f t="shared" si="7"/>
        <v>Grupo A</v>
      </c>
      <c r="AT52" s="207" t="str">
        <f>IF(COUNT($AA$24:$AA$25)&lt;2,"",IF($AA$24&lt;$AA$25,"V",IF($AA$24&gt;$AA$25,"D","Empate??")))</f>
        <v/>
      </c>
      <c r="AU52" s="208" t="str">
        <f>IF(COUNT($AA$24:$AA$25)&lt;2,"",$AA$25)</f>
        <v/>
      </c>
      <c r="AV52" s="209" t="str">
        <f>IF(COUNT($AA$24:$AA$25)&lt;2,"",$AA$24)</f>
        <v/>
      </c>
      <c r="AW52" s="210" t="str">
        <f t="shared" si="3"/>
        <v/>
      </c>
      <c r="AX52" s="209" t="str">
        <f>IF(COUNT($AA$24:$AA$25)&lt;2,"",SUM($AB$25:$AD$25))</f>
        <v/>
      </c>
      <c r="AY52" s="211" t="str">
        <f>IF(COUNT($AA$24:$AA$25)&lt;2,"",SUM($AB$24:$AD$24))</f>
        <v/>
      </c>
      <c r="AZ52" s="212" t="str">
        <f t="shared" si="2"/>
        <v/>
      </c>
    </row>
    <row r="53" spans="2:54" ht="15.75" hidden="1" thickBot="1">
      <c r="H53" s="126"/>
      <c r="I53" s="55"/>
      <c r="J53" s="40"/>
      <c r="K53" s="59"/>
      <c r="L53" s="55"/>
      <c r="M53" s="42"/>
      <c r="N53" s="42"/>
      <c r="O53" s="42"/>
      <c r="P53" s="36"/>
      <c r="Q53" s="40"/>
      <c r="R53" s="55"/>
      <c r="S53" s="46"/>
      <c r="T53" s="42"/>
      <c r="U53" s="42"/>
      <c r="V53" s="67"/>
      <c r="W53" s="47"/>
      <c r="X53" s="48"/>
      <c r="Y53" s="334" t="str">
        <f>IF(Y52="","",IF(Y52=P54,P58,P54))</f>
        <v/>
      </c>
      <c r="Z53" s="335" t="e">
        <f>IF(#REF!="","",IF(#REF!=W53,"","(2º) "))</f>
        <v>#REF!</v>
      </c>
      <c r="AA53" s="335" t="e">
        <f>IF(#REF!="","",IF(#REF!=X53,"","(2º) "))</f>
        <v>#REF!</v>
      </c>
      <c r="AB53" s="335" t="e">
        <f>IF(#REF!="","",IF(#REF!=Y53,"","(2º) "))</f>
        <v>#REF!</v>
      </c>
      <c r="AC53" s="335" t="e">
        <f>IF(#REF!="","",IF(#REF!=Z53,"","(2º) "))</f>
        <v>#REF!</v>
      </c>
      <c r="AD53" s="164" t="s">
        <v>40</v>
      </c>
      <c r="AE53" s="113"/>
      <c r="AN53" s="221">
        <f>IF($X26="","",$X26)</f>
        <v>24</v>
      </c>
      <c r="AO53" s="222" t="str">
        <f t="shared" si="8"/>
        <v>Grupo D</v>
      </c>
      <c r="AP53" s="349" t="str">
        <f>IF($Y$26="","",$Y$26)</f>
        <v/>
      </c>
      <c r="AQ53" s="350" t="str">
        <f t="shared" si="7"/>
        <v>Grupo A</v>
      </c>
      <c r="AR53" s="350" t="str">
        <f t="shared" si="7"/>
        <v>Grupo A</v>
      </c>
      <c r="AS53" s="351" t="str">
        <f t="shared" si="7"/>
        <v>Grupo A</v>
      </c>
      <c r="AT53" s="223" t="str">
        <f>IF(COUNT($AA$26:$AA$27)&lt;2,"",IF($AA$26&gt;$AA$27,"V",IF($AA$26&lt;$AA$27,"D","Empate??")))</f>
        <v/>
      </c>
      <c r="AU53" s="224" t="str">
        <f>IF(COUNT($AA$26:$AA$27)&lt;2,"",$AA$26)</f>
        <v/>
      </c>
      <c r="AV53" s="225" t="str">
        <f>IF(COUNT($AA$26:$AA$27)&lt;2,"",$AA$27)</f>
        <v/>
      </c>
      <c r="AW53" s="226" t="str">
        <f t="shared" si="3"/>
        <v/>
      </c>
      <c r="AX53" s="225" t="str">
        <f>IF(COUNT($AA$26:$AA$27)&lt;2,"",SUM($AB$26:$AD$26))</f>
        <v/>
      </c>
      <c r="AY53" s="227" t="str">
        <f>IF(COUNT($AA$26:$AA$27)&lt;2,"",SUM($AB$27:$AD$27))</f>
        <v/>
      </c>
      <c r="AZ53" s="228" t="str">
        <f t="shared" si="2"/>
        <v/>
      </c>
    </row>
    <row r="54" spans="2:54" ht="15.75" hidden="1" thickBot="1">
      <c r="H54" s="126"/>
      <c r="I54" s="317" t="str">
        <f>IF(I35="1ª Meia Final-Jogador2",CONCATENATE("Vencido do jogo ",H35),IF(I35=C34,C36,C34))</f>
        <v>Vencido do jogo 26</v>
      </c>
      <c r="J54" s="317"/>
      <c r="K54" s="318"/>
      <c r="L54" s="69"/>
      <c r="M54" s="69"/>
      <c r="N54" s="70"/>
      <c r="O54" s="38" t="str">
        <f>IF(COUNT(L54:N54)&lt;1,"",IF(SUM(IF(L50&lt;L54,1,0),IF(M50&lt;M54,1,0),IF(N50&lt;N54,1,0))&gt;2,"??",SUM(IF(L50&lt;L54,1,0),IF(M50&lt;M54,1,0),IF(N50&lt;N54,1,0))))</f>
        <v/>
      </c>
      <c r="P54" s="319" t="str">
        <f>IF(P52="Disputa 5º/6º Jogador1","Disputa 7º/8º  Jogador1",IF(P52=I50,I54,I50))</f>
        <v>Disputa 7º/8º  Jogador1</v>
      </c>
      <c r="Q54" s="352"/>
      <c r="R54" s="353"/>
      <c r="S54" s="69"/>
      <c r="T54" s="69"/>
      <c r="U54" s="69"/>
      <c r="V54" s="49" t="str">
        <f>IF(COUNT(S54:U54)&lt;1,"",IF(SUM(IF(S54&gt;S58,1,0),IF(T54&gt;T58,1,0),IF(U54&gt;U58,1,0))&gt;2,"??",SUM(IF(S54&gt;S58,1,0),IF(T54&gt;T58,1,0),IF(U54&gt;U58,1,0))))</f>
        <v/>
      </c>
      <c r="W54" s="50"/>
      <c r="X54" s="48"/>
      <c r="Y54" s="53"/>
      <c r="Z54" s="53"/>
      <c r="AA54" s="53"/>
      <c r="AB54" s="53"/>
      <c r="AC54" s="53"/>
      <c r="AD54" s="54"/>
      <c r="AE54" s="113"/>
      <c r="AN54" s="229">
        <f>IF($X26="","",$X26)</f>
        <v>24</v>
      </c>
      <c r="AO54" s="230" t="str">
        <f t="shared" si="8"/>
        <v>Grupo D</v>
      </c>
      <c r="AP54" s="354" t="str">
        <f>IF($Y$27="","",$Y$27)</f>
        <v>L Pala/F Silva (Centro)</v>
      </c>
      <c r="AQ54" s="355" t="str">
        <f t="shared" si="7"/>
        <v>Grupo A</v>
      </c>
      <c r="AR54" s="355" t="str">
        <f t="shared" si="7"/>
        <v>Grupo A</v>
      </c>
      <c r="AS54" s="356" t="str">
        <f t="shared" si="7"/>
        <v>Grupo A</v>
      </c>
      <c r="AT54" s="231" t="str">
        <f>IF(COUNT($AA$26:$AA$27)&lt;2,"",IF($AA$26&lt;$AA$27,"V",IF($AA$26&gt;$AA$27,"D","Empate??")))</f>
        <v/>
      </c>
      <c r="AU54" s="232" t="str">
        <f>IF(COUNT($AA$26:$AA$27)&lt;2,"",$AA$27)</f>
        <v/>
      </c>
      <c r="AV54" s="233" t="str">
        <f>IF(COUNT($AA$26:$AA$27)&lt;2,"",$AA$26)</f>
        <v/>
      </c>
      <c r="AW54" s="234" t="str">
        <f t="shared" si="3"/>
        <v/>
      </c>
      <c r="AX54" s="233" t="str">
        <f>IF(COUNT($AA$26:$AA$27)&lt;2,"",SUM($AB$27:$AD$27))</f>
        <v/>
      </c>
      <c r="AY54" s="235" t="str">
        <f>IF(COUNT($AA$26:$AA$27)&lt;2,"",SUM($AB$26:$AD$26))</f>
        <v/>
      </c>
      <c r="AZ54" s="236" t="str">
        <f t="shared" si="2"/>
        <v/>
      </c>
    </row>
    <row r="55" spans="2:54" ht="12.75" hidden="1" customHeight="1">
      <c r="H55" s="126"/>
      <c r="I55" s="55"/>
      <c r="J55" s="40"/>
      <c r="K55" s="59"/>
      <c r="L55" s="46"/>
      <c r="M55" s="42"/>
      <c r="N55" s="42"/>
      <c r="O55" s="42"/>
      <c r="P55" s="55"/>
      <c r="Q55" s="51"/>
      <c r="R55" s="46"/>
      <c r="S55" s="46"/>
      <c r="T55" s="41"/>
      <c r="U55" s="41"/>
      <c r="V55" s="52"/>
      <c r="W55" s="50"/>
      <c r="X55" s="48"/>
      <c r="Y55" s="53"/>
      <c r="Z55" s="53"/>
      <c r="AA55" s="53"/>
      <c r="AB55" s="53"/>
      <c r="AC55" s="53"/>
      <c r="AD55" s="54"/>
      <c r="AE55" s="113"/>
      <c r="AN55" s="250"/>
      <c r="AO55" s="295"/>
      <c r="AP55" s="295"/>
      <c r="AQ55" s="237"/>
      <c r="AR55" s="238"/>
      <c r="AS55" s="295"/>
      <c r="AT55" s="239"/>
      <c r="AU55" s="180"/>
      <c r="AV55" s="180"/>
      <c r="AW55" s="239"/>
      <c r="AX55" s="180"/>
      <c r="AY55" s="180"/>
      <c r="AZ55" s="239"/>
      <c r="BA55" s="108"/>
      <c r="BB55" s="108"/>
    </row>
    <row r="56" spans="2:54" ht="15.75" hidden="1">
      <c r="H56" s="126"/>
      <c r="I56" s="55"/>
      <c r="J56" s="40"/>
      <c r="K56" s="59"/>
      <c r="L56" s="55"/>
      <c r="M56" s="42"/>
      <c r="N56" s="42"/>
      <c r="O56" s="42"/>
      <c r="P56" s="345" t="str">
        <f>IF(OR(V54="",V58="")=TRUE,"7º Classificado",IF(V54&gt;V58,P54,P58))</f>
        <v>7º Classificado</v>
      </c>
      <c r="Q56" s="345"/>
      <c r="R56" s="345"/>
      <c r="S56" s="345"/>
      <c r="T56" s="345"/>
      <c r="U56" s="345"/>
      <c r="V56" s="65">
        <v>35</v>
      </c>
      <c r="W56" s="66">
        <v>36</v>
      </c>
      <c r="X56" s="329" t="str">
        <f>IF(OR(W52="",W60="")=TRUE,"5º Classificado",IF(W52&gt;W60,P52,P60))</f>
        <v>5º Classificado</v>
      </c>
      <c r="Y56" s="330"/>
      <c r="Z56" s="330"/>
      <c r="AA56" s="330"/>
      <c r="AB56" s="330"/>
      <c r="AC56" s="330"/>
      <c r="AD56" s="54"/>
      <c r="AE56" s="113"/>
      <c r="AN56" s="250"/>
      <c r="AO56" s="295"/>
      <c r="AP56" s="295"/>
      <c r="AQ56" s="237"/>
      <c r="AR56" s="238"/>
      <c r="AS56" s="295"/>
      <c r="AT56" s="239"/>
      <c r="AU56" s="180"/>
      <c r="AV56" s="180"/>
      <c r="AW56" s="239"/>
      <c r="AX56" s="180"/>
      <c r="AY56" s="180"/>
      <c r="AZ56" s="239"/>
      <c r="BA56" s="108"/>
      <c r="BB56" s="108"/>
    </row>
    <row r="57" spans="2:54" ht="15" hidden="1">
      <c r="H57" s="126"/>
      <c r="I57" s="55"/>
      <c r="J57" s="40"/>
      <c r="K57" s="59"/>
      <c r="L57" s="55"/>
      <c r="M57" s="42"/>
      <c r="N57" s="42"/>
      <c r="O57" s="42"/>
      <c r="P57" s="55"/>
      <c r="Q57" s="40"/>
      <c r="R57" s="55"/>
      <c r="S57" s="55"/>
      <c r="T57" s="42"/>
      <c r="U57" s="42"/>
      <c r="V57" s="56"/>
      <c r="W57" s="50"/>
      <c r="X57" s="48"/>
      <c r="Y57" s="331"/>
      <c r="Z57" s="331"/>
      <c r="AA57" s="331"/>
      <c r="AB57" s="331"/>
      <c r="AC57" s="331"/>
      <c r="AD57" s="54"/>
      <c r="AE57" s="113"/>
      <c r="AN57" s="250"/>
      <c r="AO57" s="295"/>
      <c r="AP57" s="295"/>
      <c r="AQ57" s="237"/>
      <c r="AR57" s="238"/>
      <c r="AS57" s="295"/>
      <c r="AT57" s="239"/>
      <c r="AU57" s="180"/>
      <c r="AV57" s="180"/>
      <c r="AW57" s="239"/>
      <c r="AX57" s="180"/>
      <c r="AY57" s="180"/>
      <c r="AZ57" s="239"/>
      <c r="BA57" s="108"/>
      <c r="BB57" s="108"/>
    </row>
    <row r="58" spans="2:54" ht="15" hidden="1">
      <c r="H58" s="126"/>
      <c r="I58" s="317" t="str">
        <f>IF(I39="2ª Meia Final-Jogador1",CONCATENATE("Vencido do jogo ",H39),IF(I39=C38,C40,C38))</f>
        <v>Vencido do jogo 27</v>
      </c>
      <c r="J58" s="317"/>
      <c r="K58" s="318"/>
      <c r="L58" s="69"/>
      <c r="M58" s="69"/>
      <c r="N58" s="70"/>
      <c r="O58" s="38" t="str">
        <f>IF(COUNT(L58:N58)&lt;1,"",IF(SUM(IF(L58&gt;L62,1,0),IF(M58&gt;M62,1,0),IF(N58&gt;N62,1,0))&gt;2,"??",SUM(IF(L58&gt;L62,1,0),IF(M58&gt;M62,1,0),IF(N58&gt;N62,1,0))))</f>
        <v/>
      </c>
      <c r="P58" s="319" t="str">
        <f>IF(P60="Disputa 5º/6º Jogador2","Disputa 7º/8º  Jogador2",IF(P60=I58,I62,I58))</f>
        <v>Disputa 7º/8º  Jogador2</v>
      </c>
      <c r="Q58" s="320"/>
      <c r="R58" s="321"/>
      <c r="S58" s="69"/>
      <c r="T58" s="69"/>
      <c r="U58" s="69"/>
      <c r="V58" s="49" t="str">
        <f>IF(COUNT(S58:U58)&lt;1,"",IF(SUM(IF(S54&lt;S58,1,0),IF(T54&lt;T58,1,0),IF(U54&lt;U58,1,0))&gt;2,"??",SUM(IF(S54&lt;S58,1,0),IF(T54&lt;T58,1,0),IF(U54&lt;U58,1,0))))</f>
        <v/>
      </c>
      <c r="W58" s="50"/>
      <c r="X58" s="48"/>
      <c r="Y58" s="53"/>
      <c r="Z58" s="53"/>
      <c r="AA58" s="53"/>
      <c r="AB58" s="57"/>
      <c r="AC58" s="57"/>
      <c r="AD58" s="58"/>
      <c r="AE58" s="113"/>
      <c r="AN58" s="250"/>
      <c r="AO58" s="295"/>
      <c r="AP58" s="295"/>
      <c r="AQ58" s="237"/>
      <c r="AR58" s="238"/>
      <c r="AS58" s="295"/>
      <c r="AT58" s="239"/>
      <c r="AU58" s="180"/>
      <c r="AV58" s="180"/>
      <c r="AW58" s="239"/>
      <c r="AX58" s="180"/>
      <c r="AY58" s="180"/>
      <c r="AZ58" s="239"/>
      <c r="BA58" s="108"/>
      <c r="BB58" s="108"/>
    </row>
    <row r="59" spans="2:54" hidden="1">
      <c r="H59" s="126"/>
      <c r="I59" s="55"/>
      <c r="J59" s="40"/>
      <c r="K59" s="59"/>
      <c r="L59" s="55"/>
      <c r="M59" s="41"/>
      <c r="N59" s="41"/>
      <c r="O59" s="42"/>
      <c r="P59" s="36"/>
      <c r="Q59" s="51"/>
      <c r="R59" s="46"/>
      <c r="S59" s="55"/>
      <c r="T59" s="42"/>
      <c r="U59" s="42"/>
      <c r="V59" s="67"/>
      <c r="W59" s="50"/>
      <c r="X59" s="48"/>
      <c r="Y59" s="53"/>
      <c r="Z59" s="53"/>
      <c r="AA59" s="53"/>
      <c r="AB59" s="53"/>
      <c r="AC59" s="53"/>
      <c r="AD59" s="54"/>
      <c r="AE59" s="113"/>
    </row>
    <row r="60" spans="2:54" ht="15" hidden="1">
      <c r="H60" s="126"/>
      <c r="I60" s="55"/>
      <c r="J60" s="40"/>
      <c r="K60" s="59"/>
      <c r="L60" s="55"/>
      <c r="M60" s="42"/>
      <c r="N60" s="42"/>
      <c r="O60" s="64">
        <v>34</v>
      </c>
      <c r="P60" s="322" t="str">
        <f>IF(OR(O58="",O62="")=TRUE,"Disputa 5º/6º Jogador2",IF(O58&gt;O62,I58,I62))</f>
        <v>Disputa 5º/6º Jogador2</v>
      </c>
      <c r="Q60" s="317"/>
      <c r="R60" s="317"/>
      <c r="S60" s="318"/>
      <c r="T60" s="69"/>
      <c r="U60" s="69"/>
      <c r="V60" s="69"/>
      <c r="W60" s="45" t="str">
        <f>IF(COUNT(T60:V60)&lt;1,"",IF(SUM(IF(T52&lt;T60,1,0),IF(U52&lt;U60,1,0),IF(V52&lt;V60,1,0))&gt;2,"??",SUM(IF(T52&lt;T60,1,0),IF(U52&lt;U60,1,0),IF(V52&lt;V60,1,0))))</f>
        <v/>
      </c>
      <c r="X60" s="48"/>
      <c r="Y60" s="53"/>
      <c r="Z60" s="53"/>
      <c r="AA60" s="53"/>
      <c r="AB60" s="53"/>
      <c r="AC60" s="53"/>
      <c r="AD60" s="54"/>
      <c r="AE60" s="113"/>
    </row>
    <row r="61" spans="2:54" ht="15" hidden="1" customHeight="1">
      <c r="H61" s="126"/>
      <c r="I61" s="55"/>
      <c r="J61" s="40"/>
      <c r="K61" s="59"/>
      <c r="L61" s="55"/>
      <c r="M61" s="42"/>
      <c r="N61" s="42"/>
      <c r="O61" s="42"/>
      <c r="P61" s="36"/>
      <c r="Q61" s="40"/>
      <c r="R61" s="55"/>
      <c r="S61" s="46"/>
      <c r="T61" s="55"/>
      <c r="U61" s="55"/>
      <c r="V61" s="60"/>
      <c r="W61" s="53"/>
      <c r="X61" s="48"/>
      <c r="Y61" s="53"/>
      <c r="Z61" s="53"/>
      <c r="AA61" s="53"/>
      <c r="AB61" s="53"/>
      <c r="AC61" s="53"/>
      <c r="AD61" s="54"/>
      <c r="AE61" s="113"/>
    </row>
    <row r="62" spans="2:54" ht="15" hidden="1">
      <c r="H62" s="126"/>
      <c r="I62" s="317" t="str">
        <f>IF(I43="2ª Meia Final-Jogador2",CONCATENATE("Vencido do jogo ",H43),IF(I43=C42,C44,C42))</f>
        <v>Vencido do jogo 28</v>
      </c>
      <c r="J62" s="317"/>
      <c r="K62" s="318"/>
      <c r="L62" s="69"/>
      <c r="M62" s="69"/>
      <c r="N62" s="70"/>
      <c r="O62" s="35" t="str">
        <f>IF(COUNT(L62:N62)&lt;1,"",IF(SUM(IF(L58&lt;L62,1,0),IF(M58&lt;M62,1,0),IF(N58&lt;N62,1,0))&gt;2,"??",SUM(IF(L58&lt;L62,1,0),IF(M58&lt;M62,1,0),IF(N58&lt;N62,1,0))))</f>
        <v/>
      </c>
      <c r="P62" s="36"/>
      <c r="Q62" s="40"/>
      <c r="R62" s="55"/>
      <c r="S62" s="55"/>
      <c r="T62" s="55"/>
      <c r="U62" s="55"/>
      <c r="V62" s="55"/>
      <c r="W62" s="54"/>
      <c r="X62" s="68"/>
      <c r="Y62" s="54"/>
      <c r="Z62" s="54"/>
      <c r="AA62" s="54"/>
      <c r="AB62" s="54"/>
      <c r="AC62" s="54"/>
      <c r="AD62" s="54"/>
      <c r="AE62" s="113"/>
    </row>
    <row r="63" spans="2:54" hidden="1">
      <c r="H63" s="128"/>
      <c r="I63" s="168"/>
      <c r="J63" s="169"/>
      <c r="K63" s="168"/>
      <c r="L63" s="170"/>
      <c r="M63" s="168"/>
      <c r="N63" s="168"/>
      <c r="O63" s="168"/>
      <c r="P63" s="168"/>
      <c r="Q63" s="169"/>
      <c r="R63" s="168"/>
      <c r="S63" s="168"/>
      <c r="T63" s="168"/>
      <c r="U63" s="168"/>
      <c r="V63" s="168"/>
      <c r="W63" s="122"/>
      <c r="X63" s="123"/>
      <c r="Y63" s="122"/>
      <c r="Z63" s="122"/>
      <c r="AA63" s="122"/>
      <c r="AB63" s="122"/>
      <c r="AC63" s="122"/>
      <c r="AD63" s="122"/>
      <c r="AE63" s="124"/>
    </row>
    <row r="64" spans="2:54" ht="6" hidden="1" customHeight="1">
      <c r="H64" s="54"/>
    </row>
    <row r="65" spans="4:54" ht="13.5" hidden="1" thickBot="1">
      <c r="D65" s="54"/>
      <c r="H65" s="125"/>
      <c r="I65" s="61"/>
      <c r="J65" s="167"/>
      <c r="K65" s="61"/>
      <c r="L65" s="61"/>
      <c r="M65" s="61"/>
      <c r="N65" s="61"/>
      <c r="O65" s="61"/>
      <c r="P65" s="61"/>
      <c r="Q65" s="167"/>
      <c r="R65" s="61"/>
      <c r="S65" s="61"/>
      <c r="T65" s="61"/>
      <c r="U65" s="61"/>
      <c r="V65" s="61"/>
      <c r="W65" s="61"/>
      <c r="X65" s="167"/>
      <c r="Y65" s="61"/>
      <c r="Z65" s="61"/>
      <c r="AA65" s="61"/>
      <c r="AB65" s="61"/>
      <c r="AC65" s="61"/>
      <c r="AD65" s="61"/>
      <c r="AE65" s="3"/>
      <c r="AN65" s="250"/>
      <c r="AO65" s="295"/>
      <c r="AP65" s="327"/>
      <c r="AQ65" s="327"/>
      <c r="AR65" s="327"/>
      <c r="AS65" s="327"/>
      <c r="AT65" s="239"/>
      <c r="AU65" s="180"/>
      <c r="AV65" s="180"/>
      <c r="AW65" s="239"/>
      <c r="AX65" s="180"/>
      <c r="AY65" s="180"/>
      <c r="AZ65" s="239"/>
    </row>
    <row r="66" spans="4:54" hidden="1">
      <c r="D66" s="54"/>
      <c r="H66" s="126"/>
      <c r="I66" s="336" t="s">
        <v>66</v>
      </c>
      <c r="J66" s="336"/>
      <c r="K66" s="336"/>
      <c r="L66" s="336"/>
      <c r="M66" s="336"/>
      <c r="N66" s="336"/>
      <c r="O66" s="336"/>
      <c r="P66" s="336"/>
      <c r="Q66" s="336"/>
      <c r="R66" s="336"/>
      <c r="S66" s="336"/>
      <c r="T66" s="336"/>
      <c r="U66" s="336"/>
      <c r="V66" s="336"/>
      <c r="W66" s="336"/>
      <c r="X66" s="68"/>
      <c r="Y66" s="337" t="s">
        <v>0</v>
      </c>
      <c r="Z66" s="338"/>
      <c r="AA66" s="338"/>
      <c r="AB66" s="338"/>
      <c r="AC66" s="338"/>
      <c r="AD66" s="339"/>
      <c r="AE66" s="113"/>
      <c r="AN66" s="250"/>
      <c r="AO66" s="295"/>
      <c r="AP66" s="327"/>
      <c r="AQ66" s="327"/>
      <c r="AR66" s="327"/>
      <c r="AS66" s="327"/>
      <c r="AT66" s="239"/>
      <c r="AU66" s="180"/>
      <c r="AV66" s="180"/>
      <c r="AW66" s="239"/>
      <c r="AX66" s="180"/>
      <c r="AY66" s="180"/>
      <c r="AZ66" s="239"/>
    </row>
    <row r="67" spans="4:54" ht="13.5" hidden="1" thickBot="1">
      <c r="D67" s="54"/>
      <c r="H67" s="126"/>
      <c r="I67" s="336"/>
      <c r="J67" s="336"/>
      <c r="K67" s="336"/>
      <c r="L67" s="336"/>
      <c r="M67" s="336"/>
      <c r="N67" s="336"/>
      <c r="O67" s="336"/>
      <c r="P67" s="336"/>
      <c r="Q67" s="336"/>
      <c r="R67" s="336"/>
      <c r="S67" s="336"/>
      <c r="T67" s="336"/>
      <c r="U67" s="336"/>
      <c r="V67" s="336"/>
      <c r="W67" s="336"/>
      <c r="X67" s="68"/>
      <c r="Y67" s="340"/>
      <c r="Z67" s="341"/>
      <c r="AA67" s="341"/>
      <c r="AB67" s="341"/>
      <c r="AC67" s="341"/>
      <c r="AD67" s="342"/>
      <c r="AE67" s="113"/>
      <c r="AN67" s="250"/>
      <c r="AO67" s="295"/>
      <c r="AP67" s="327"/>
      <c r="AQ67" s="327"/>
      <c r="AR67" s="327"/>
      <c r="AS67" s="327"/>
      <c r="AT67" s="239"/>
      <c r="AU67" s="180"/>
      <c r="AV67" s="180"/>
      <c r="AW67" s="239"/>
      <c r="AX67" s="180"/>
      <c r="AY67" s="180"/>
      <c r="AZ67" s="239"/>
    </row>
    <row r="68" spans="4:54" ht="15.75" hidden="1">
      <c r="H68" s="126"/>
      <c r="I68" s="317" t="str">
        <f>IF(D14="","3º  do Grupo A",D14)</f>
        <v>3º  do Grupo A</v>
      </c>
      <c r="J68" s="317"/>
      <c r="K68" s="318"/>
      <c r="L68" s="69"/>
      <c r="M68" s="69"/>
      <c r="N68" s="70"/>
      <c r="O68" s="38" t="str">
        <f>IF(COUNT(L68:N68)&lt;1,"",IF(SUM(IF(L68&gt;L72,1,0),IF(M68&gt;M72,1,0),IF(N68&gt;N72,1,0))&gt;2,"??",SUM(IF(L68&gt;L72,1,0),IF(M68&gt;M72,1,0),IF(N68&gt;N72,1,0))))</f>
        <v/>
      </c>
      <c r="P68" s="55"/>
      <c r="Q68" s="40"/>
      <c r="R68" s="55"/>
      <c r="S68" s="55"/>
      <c r="T68" s="55"/>
      <c r="U68" s="55"/>
      <c r="V68" s="55"/>
      <c r="W68" s="54"/>
      <c r="X68" s="68"/>
      <c r="Y68" s="343" t="str">
        <f>IF(X74="9º Classificado","",X74)</f>
        <v/>
      </c>
      <c r="Z68" s="344"/>
      <c r="AA68" s="344"/>
      <c r="AB68" s="344"/>
      <c r="AC68" s="344"/>
      <c r="AD68" s="39" t="s">
        <v>67</v>
      </c>
      <c r="AE68" s="113"/>
      <c r="AN68" s="250"/>
      <c r="AO68" s="295"/>
      <c r="AP68" s="327"/>
      <c r="AQ68" s="327"/>
      <c r="AR68" s="327"/>
      <c r="AS68" s="327"/>
      <c r="AT68" s="239"/>
      <c r="AU68" s="180"/>
      <c r="AV68" s="180"/>
      <c r="AW68" s="239"/>
      <c r="AX68" s="180"/>
      <c r="AY68" s="180"/>
      <c r="AZ68" s="239"/>
    </row>
    <row r="69" spans="4:54" ht="15" hidden="1" customHeight="1">
      <c r="H69" s="126"/>
      <c r="I69" s="55"/>
      <c r="J69" s="40"/>
      <c r="K69" s="59"/>
      <c r="L69" s="55"/>
      <c r="M69" s="41"/>
      <c r="N69" s="41"/>
      <c r="O69" s="42"/>
      <c r="P69" s="36"/>
      <c r="Q69" s="40"/>
      <c r="R69" s="55"/>
      <c r="S69" s="55"/>
      <c r="T69" s="55"/>
      <c r="U69" s="55"/>
      <c r="V69" s="60"/>
      <c r="W69" s="53"/>
      <c r="X69" s="48"/>
      <c r="Y69" s="332" t="str">
        <f>IF(Y68="","",IF(Y68=P70,P78,P70))</f>
        <v/>
      </c>
      <c r="Z69" s="333" t="e">
        <f>IF(#REF!="","",IF(#REF!=W69,"","(2º) "))</f>
        <v>#REF!</v>
      </c>
      <c r="AA69" s="333" t="e">
        <f>IF(#REF!="","",IF(#REF!=X69,"","(2º) "))</f>
        <v>#REF!</v>
      </c>
      <c r="AB69" s="333" t="e">
        <f>IF(#REF!="","",IF(#REF!=Y69,"","(2º) "))</f>
        <v>#REF!</v>
      </c>
      <c r="AC69" s="333" t="e">
        <f>IF(#REF!="","",IF(#REF!=Z69,"","(2º) "))</f>
        <v>#REF!</v>
      </c>
      <c r="AD69" s="43" t="s">
        <v>68</v>
      </c>
      <c r="AE69" s="113"/>
      <c r="AN69" s="250"/>
      <c r="AO69" s="295"/>
      <c r="AP69" s="327"/>
      <c r="AQ69" s="327"/>
      <c r="AR69" s="327"/>
      <c r="AS69" s="327"/>
      <c r="AT69" s="239"/>
      <c r="AU69" s="180"/>
      <c r="AV69" s="180"/>
      <c r="AW69" s="239"/>
      <c r="AX69" s="180"/>
      <c r="AY69" s="180"/>
      <c r="AZ69" s="239"/>
    </row>
    <row r="70" spans="4:54" ht="15" hidden="1" customHeight="1">
      <c r="H70" s="126"/>
      <c r="I70" s="55"/>
      <c r="J70" s="40"/>
      <c r="K70" s="59"/>
      <c r="L70" s="55"/>
      <c r="M70" s="42"/>
      <c r="N70" s="42"/>
      <c r="O70" s="64">
        <v>37</v>
      </c>
      <c r="P70" s="322" t="str">
        <f>IF(OR(O68="",O72="")=TRUE,"Disputa 9º/10º Jogador1",IF(O68&gt;O72,I68,I72))</f>
        <v>Disputa 9º/10º Jogador1</v>
      </c>
      <c r="Q70" s="317"/>
      <c r="R70" s="317"/>
      <c r="S70" s="318"/>
      <c r="T70" s="69"/>
      <c r="U70" s="69"/>
      <c r="V70" s="69"/>
      <c r="W70" s="45" t="str">
        <f>IF(COUNT(T70:V70)&lt;1,"",IF(SUM(IF(T70&gt;T78,1,0),IF(U70&gt;U78,1,0),IF(V70&gt;V78,1,0))&gt;2,"??",SUM(IF(T70&gt;T78,1,0),IF(U70&gt;U78,1,0),IF(V70&gt;V78,1,0))))</f>
        <v/>
      </c>
      <c r="X70" s="48"/>
      <c r="Y70" s="332" t="str">
        <f>IF(P74="11º Classificado","",P74)</f>
        <v/>
      </c>
      <c r="Z70" s="333"/>
      <c r="AA70" s="333"/>
      <c r="AB70" s="333"/>
      <c r="AC70" s="333"/>
      <c r="AD70" s="43" t="s">
        <v>69</v>
      </c>
      <c r="AE70" s="113"/>
      <c r="AN70" s="250"/>
      <c r="AO70" s="295"/>
      <c r="AP70" s="327"/>
      <c r="AQ70" s="327"/>
      <c r="AR70" s="327"/>
      <c r="AS70" s="327"/>
      <c r="AT70" s="239"/>
      <c r="AU70" s="180"/>
      <c r="AV70" s="180"/>
      <c r="AW70" s="239"/>
      <c r="AX70" s="180"/>
      <c r="AY70" s="180"/>
      <c r="AZ70" s="239"/>
    </row>
    <row r="71" spans="4:54" ht="15.75" hidden="1" thickBot="1">
      <c r="H71" s="126"/>
      <c r="I71" s="55"/>
      <c r="J71" s="40"/>
      <c r="K71" s="59"/>
      <c r="L71" s="55"/>
      <c r="M71" s="42"/>
      <c r="N71" s="42"/>
      <c r="O71" s="42"/>
      <c r="P71" s="36"/>
      <c r="Q71" s="40"/>
      <c r="R71" s="55"/>
      <c r="S71" s="46"/>
      <c r="T71" s="42"/>
      <c r="U71" s="42"/>
      <c r="V71" s="67"/>
      <c r="W71" s="47"/>
      <c r="X71" s="48"/>
      <c r="Y71" s="334" t="str">
        <f>IF(Y70="","",IF(Y70=P72,P76,P72))</f>
        <v/>
      </c>
      <c r="Z71" s="335"/>
      <c r="AA71" s="335"/>
      <c r="AB71" s="335"/>
      <c r="AC71" s="335"/>
      <c r="AD71" s="164" t="s">
        <v>70</v>
      </c>
      <c r="AE71" s="113"/>
      <c r="AN71" s="250"/>
      <c r="AO71" s="295"/>
      <c r="AP71" s="327"/>
      <c r="AQ71" s="327"/>
      <c r="AR71" s="327"/>
      <c r="AS71" s="327"/>
      <c r="AT71" s="239"/>
      <c r="AU71" s="180"/>
      <c r="AV71" s="180"/>
      <c r="AW71" s="239"/>
      <c r="AX71" s="180"/>
      <c r="AY71" s="180"/>
      <c r="AZ71" s="239"/>
    </row>
    <row r="72" spans="4:54" ht="15" hidden="1">
      <c r="H72" s="126"/>
      <c r="I72" s="317" t="str">
        <f>IF(K14="","3º  do Grupo B",K14)</f>
        <v>3º  do Grupo B</v>
      </c>
      <c r="J72" s="317"/>
      <c r="K72" s="318"/>
      <c r="L72" s="69"/>
      <c r="M72" s="69"/>
      <c r="N72" s="70"/>
      <c r="O72" s="35" t="str">
        <f>IF(COUNT(L72:N72)&lt;1,"",IF(SUM(IF(L68&lt;L72,1,0),IF(M68&lt;M72,1,0),IF(N68&lt;N72,1,0))&gt;2,"??",SUM(IF(L68&lt;L72,1,0),IF(M68&lt;M72,1,0),IF(N68&lt;N72,1,0))))</f>
        <v/>
      </c>
      <c r="P72" s="324" t="str">
        <f>IF(P70="Disputa 9º/10º Jogador1","Disputa 11º/12º  Jogador1",IF(P70=I68,I72,I68))</f>
        <v>Disputa 11º/12º  Jogador1</v>
      </c>
      <c r="Q72" s="325"/>
      <c r="R72" s="326"/>
      <c r="S72" s="69"/>
      <c r="T72" s="69"/>
      <c r="U72" s="69"/>
      <c r="V72" s="49" t="str">
        <f>IF(COUNT(S72:U72)&lt;1,"",IF(SUM(IF(S72&gt;S76,1,0),IF(T72&gt;T76,1,0),IF(U72&gt;U76,1,0))&gt;2,"??",SUM(IF(S72&gt;S76,1,0),IF(T72&gt;T76,1,0),IF(U72&gt;U76,1,0))))</f>
        <v/>
      </c>
      <c r="W72" s="50"/>
      <c r="X72" s="48"/>
      <c r="Y72" s="53"/>
      <c r="Z72" s="53"/>
      <c r="AA72" s="53"/>
      <c r="AB72" s="53"/>
      <c r="AC72" s="53"/>
      <c r="AD72" s="54"/>
      <c r="AE72" s="113"/>
      <c r="AN72" s="250"/>
      <c r="AO72" s="295"/>
      <c r="AP72" s="327"/>
      <c r="AQ72" s="327"/>
      <c r="AR72" s="327"/>
      <c r="AS72" s="327"/>
      <c r="AT72" s="239"/>
      <c r="AU72" s="180"/>
      <c r="AV72" s="180"/>
      <c r="AW72" s="239"/>
      <c r="AX72" s="180"/>
      <c r="AY72" s="180"/>
      <c r="AZ72" s="239"/>
    </row>
    <row r="73" spans="4:54" ht="12.75" hidden="1" customHeight="1">
      <c r="H73" s="126"/>
      <c r="I73" s="55"/>
      <c r="J73" s="40"/>
      <c r="K73" s="59"/>
      <c r="L73" s="46"/>
      <c r="M73" s="42"/>
      <c r="N73" s="42"/>
      <c r="O73" s="42"/>
      <c r="P73" s="55"/>
      <c r="Q73" s="51"/>
      <c r="R73" s="46"/>
      <c r="S73" s="46"/>
      <c r="T73" s="41"/>
      <c r="U73" s="41"/>
      <c r="V73" s="52"/>
      <c r="W73" s="50"/>
      <c r="X73" s="48"/>
      <c r="Y73" s="53"/>
      <c r="Z73" s="53"/>
      <c r="AA73" s="53"/>
      <c r="AB73" s="53"/>
      <c r="AC73" s="53"/>
      <c r="AD73" s="54"/>
      <c r="AE73" s="113"/>
      <c r="AN73" s="250"/>
      <c r="AO73" s="295"/>
      <c r="AP73" s="295"/>
      <c r="AQ73" s="237"/>
      <c r="AR73" s="238"/>
      <c r="AS73" s="295"/>
      <c r="AT73" s="239"/>
      <c r="AU73" s="180"/>
      <c r="AV73" s="180"/>
      <c r="AW73" s="239"/>
      <c r="AX73" s="180"/>
      <c r="AY73" s="180"/>
      <c r="AZ73" s="239"/>
      <c r="BA73" s="108"/>
      <c r="BB73" s="108"/>
    </row>
    <row r="74" spans="4:54" ht="15.75" hidden="1">
      <c r="H74" s="126"/>
      <c r="I74" s="55"/>
      <c r="J74" s="40"/>
      <c r="K74" s="59"/>
      <c r="L74" s="55"/>
      <c r="M74" s="42"/>
      <c r="N74" s="42"/>
      <c r="O74" s="42"/>
      <c r="P74" s="328" t="str">
        <f>IF(OR(V72="",V76="")=TRUE,"11º Classificado",IF(V72&gt;V76,P72,P76))</f>
        <v>11º Classificado</v>
      </c>
      <c r="Q74" s="328"/>
      <c r="R74" s="328"/>
      <c r="S74" s="328"/>
      <c r="T74" s="328"/>
      <c r="U74" s="328"/>
      <c r="V74" s="65">
        <v>39</v>
      </c>
      <c r="W74" s="66">
        <v>40</v>
      </c>
      <c r="X74" s="329" t="str">
        <f>IF(OR(W70="",W78="")=TRUE,"9º Classificado",IF(W70&gt;W78,P70,P78))</f>
        <v>9º Classificado</v>
      </c>
      <c r="Y74" s="330"/>
      <c r="Z74" s="330"/>
      <c r="AA74" s="330"/>
      <c r="AB74" s="330"/>
      <c r="AC74" s="330"/>
      <c r="AD74" s="54"/>
      <c r="AE74" s="113"/>
      <c r="AN74" s="250"/>
      <c r="AO74" s="295"/>
      <c r="AP74" s="295"/>
      <c r="AQ74" s="237"/>
      <c r="AR74" s="238"/>
      <c r="AS74" s="295"/>
      <c r="AT74" s="239"/>
      <c r="AU74" s="180"/>
      <c r="AV74" s="180"/>
      <c r="AW74" s="239"/>
      <c r="AX74" s="180"/>
      <c r="AY74" s="180"/>
      <c r="AZ74" s="239"/>
      <c r="BA74" s="108"/>
      <c r="BB74" s="108"/>
    </row>
    <row r="75" spans="4:54" ht="15" hidden="1">
      <c r="H75" s="126"/>
      <c r="I75" s="55"/>
      <c r="J75" s="40"/>
      <c r="K75" s="59"/>
      <c r="L75" s="55"/>
      <c r="M75" s="42"/>
      <c r="N75" s="42"/>
      <c r="O75" s="42"/>
      <c r="P75" s="55"/>
      <c r="Q75" s="40"/>
      <c r="R75" s="55"/>
      <c r="S75" s="55"/>
      <c r="T75" s="42"/>
      <c r="U75" s="42"/>
      <c r="V75" s="56"/>
      <c r="W75" s="50"/>
      <c r="X75" s="48"/>
      <c r="Y75" s="331"/>
      <c r="Z75" s="331"/>
      <c r="AA75" s="331"/>
      <c r="AB75" s="331"/>
      <c r="AC75" s="331"/>
      <c r="AD75" s="54"/>
      <c r="AE75" s="113"/>
      <c r="AN75" s="250"/>
      <c r="AO75" s="295"/>
      <c r="AP75" s="295"/>
      <c r="AQ75" s="237"/>
      <c r="AR75" s="238"/>
      <c r="AS75" s="295"/>
      <c r="AT75" s="239"/>
      <c r="AU75" s="180"/>
      <c r="AV75" s="180"/>
      <c r="AW75" s="239"/>
      <c r="AX75" s="180"/>
      <c r="AY75" s="180"/>
      <c r="AZ75" s="239"/>
      <c r="BA75" s="108"/>
      <c r="BB75" s="108"/>
    </row>
    <row r="76" spans="4:54" ht="15" hidden="1">
      <c r="H76" s="126"/>
      <c r="I76" s="317" t="str">
        <f>IF(R14="","3º  do Grupo C",R14)</f>
        <v>3º  do Grupo C</v>
      </c>
      <c r="J76" s="317"/>
      <c r="K76" s="318"/>
      <c r="L76" s="69"/>
      <c r="M76" s="69"/>
      <c r="N76" s="70"/>
      <c r="O76" s="38" t="str">
        <f>IF(COUNT(L76:N76)&lt;1,"",IF(SUM(IF(L76&gt;L80,1,0),IF(M76&gt;M80,1,0),IF(N76&gt;N80,1,0))&gt;2,"??",SUM(IF(L76&gt;L80,1,0),IF(M76&gt;M80,1,0),IF(N76&gt;N80,1,0))))</f>
        <v/>
      </c>
      <c r="P76" s="319" t="str">
        <f>IF(P78="Disputa 9º/10º Jogador2","Disputa 11º/12º  Jogador2",IF(P78=I76,I80,I76))</f>
        <v>Disputa 11º/12º  Jogador2</v>
      </c>
      <c r="Q76" s="320"/>
      <c r="R76" s="321"/>
      <c r="S76" s="69"/>
      <c r="T76" s="69"/>
      <c r="U76" s="69"/>
      <c r="V76" s="49" t="str">
        <f>IF(COUNT(S76:U76)&lt;1,"",IF(SUM(IF(S72&lt;S76,1,0),IF(T72&lt;T76,1,0),IF(U72&lt;U76,1,0))&gt;2,"??",SUM(IF(S72&lt;S76,1,0),IF(T72&lt;T76,1,0),IF(U72&lt;U76,1,0))))</f>
        <v/>
      </c>
      <c r="W76" s="50"/>
      <c r="X76" s="48"/>
      <c r="Y76" s="53"/>
      <c r="Z76" s="53"/>
      <c r="AA76" s="53"/>
      <c r="AB76" s="57"/>
      <c r="AC76" s="57"/>
      <c r="AD76" s="58"/>
      <c r="AE76" s="113"/>
      <c r="AN76" s="250"/>
      <c r="AO76" s="295"/>
      <c r="AP76" s="295"/>
      <c r="AQ76" s="237"/>
      <c r="AR76" s="238"/>
      <c r="AS76" s="295"/>
      <c r="AT76" s="239"/>
      <c r="AU76" s="180"/>
      <c r="AV76" s="180"/>
      <c r="AW76" s="239"/>
      <c r="AX76" s="180"/>
      <c r="AY76" s="180"/>
      <c r="AZ76" s="239"/>
      <c r="BA76" s="108"/>
      <c r="BB76" s="108"/>
    </row>
    <row r="77" spans="4:54" hidden="1">
      <c r="H77" s="126"/>
      <c r="I77" s="55"/>
      <c r="J77" s="40"/>
      <c r="K77" s="59"/>
      <c r="L77" s="55"/>
      <c r="M77" s="41"/>
      <c r="N77" s="41"/>
      <c r="O77" s="42"/>
      <c r="P77" s="36"/>
      <c r="Q77" s="51"/>
      <c r="R77" s="46"/>
      <c r="S77" s="55"/>
      <c r="T77" s="42"/>
      <c r="U77" s="42"/>
      <c r="V77" s="67"/>
      <c r="W77" s="50"/>
      <c r="X77" s="48"/>
      <c r="Y77" s="53"/>
      <c r="Z77" s="53"/>
      <c r="AA77" s="53"/>
      <c r="AB77" s="53"/>
      <c r="AC77" s="53"/>
      <c r="AD77" s="54"/>
      <c r="AE77" s="113"/>
    </row>
    <row r="78" spans="4:54" ht="15" hidden="1">
      <c r="H78" s="126"/>
      <c r="I78" s="55"/>
      <c r="J78" s="40"/>
      <c r="K78" s="59"/>
      <c r="L78" s="55"/>
      <c r="M78" s="42"/>
      <c r="N78" s="42"/>
      <c r="O78" s="64">
        <v>38</v>
      </c>
      <c r="P78" s="322" t="str">
        <f>IF(OR(O76="",O80="")=TRUE,"Disputa 9º/10º Jogador2",IF(O76&gt;O80,I76,I80))</f>
        <v>Disputa 9º/10º Jogador2</v>
      </c>
      <c r="Q78" s="317"/>
      <c r="R78" s="317"/>
      <c r="S78" s="318"/>
      <c r="T78" s="69"/>
      <c r="U78" s="69"/>
      <c r="V78" s="69"/>
      <c r="W78" s="45" t="str">
        <f>IF(COUNT(T78:V78)&lt;1,"",IF(SUM(IF(T70&lt;T78,1,0),IF(U70&lt;U78,1,0),IF(V70&lt;V78,1,0))&gt;2,"??",SUM(IF(T70&lt;T78,1,0),IF(U70&lt;U78,1,0),IF(V70&lt;V78,1,0))))</f>
        <v/>
      </c>
      <c r="X78" s="48"/>
      <c r="Y78" s="53"/>
      <c r="Z78" s="53"/>
      <c r="AA78" s="53"/>
      <c r="AB78" s="53"/>
      <c r="AC78" s="53"/>
      <c r="AD78" s="54"/>
      <c r="AE78" s="113"/>
    </row>
    <row r="79" spans="4:54" ht="15" hidden="1" customHeight="1">
      <c r="H79" s="126"/>
      <c r="I79" s="55"/>
      <c r="J79" s="40"/>
      <c r="K79" s="59"/>
      <c r="L79" s="55"/>
      <c r="M79" s="42"/>
      <c r="N79" s="42"/>
      <c r="O79" s="42"/>
      <c r="P79" s="36"/>
      <c r="Q79" s="40"/>
      <c r="R79" s="55"/>
      <c r="S79" s="46"/>
      <c r="T79" s="55"/>
      <c r="U79" s="55"/>
      <c r="V79" s="60"/>
      <c r="W79" s="53"/>
      <c r="X79" s="48"/>
      <c r="Y79" s="53"/>
      <c r="Z79" s="53"/>
      <c r="AA79" s="53"/>
      <c r="AB79" s="53"/>
      <c r="AC79" s="53"/>
      <c r="AD79" s="54"/>
      <c r="AE79" s="113"/>
    </row>
    <row r="80" spans="4:54" ht="15" hidden="1">
      <c r="H80" s="126"/>
      <c r="I80" s="317" t="str">
        <f>IF(Y14="","3º  do Grupo D",Y14)</f>
        <v>3º  do Grupo D</v>
      </c>
      <c r="J80" s="317"/>
      <c r="K80" s="318"/>
      <c r="L80" s="69"/>
      <c r="M80" s="69"/>
      <c r="N80" s="70"/>
      <c r="O80" s="35" t="str">
        <f>IF(COUNT(L80:N80)&lt;1,"",IF(SUM(IF(L76&lt;L80,1,0),IF(M76&lt;M80,1,0),IF(N76&lt;N80,1,0))&gt;2,"??",SUM(IF(L76&lt;L80,1,0),IF(M76&lt;M80,1,0),IF(N76&lt;N80,1,0))))</f>
        <v/>
      </c>
      <c r="P80" s="36"/>
      <c r="Q80" s="40"/>
      <c r="R80" s="55"/>
      <c r="S80" s="55"/>
      <c r="T80" s="55"/>
      <c r="U80" s="55"/>
      <c r="V80" s="55"/>
      <c r="W80" s="54"/>
      <c r="X80" s="68"/>
      <c r="Y80" s="54"/>
      <c r="Z80" s="54"/>
      <c r="AA80" s="54"/>
      <c r="AB80" s="54"/>
      <c r="AC80" s="54"/>
      <c r="AD80" s="54"/>
      <c r="AE80" s="113"/>
    </row>
    <row r="81" spans="4:54" hidden="1">
      <c r="H81" s="128"/>
      <c r="I81" s="168"/>
      <c r="J81" s="169"/>
      <c r="K81" s="168"/>
      <c r="L81" s="170"/>
      <c r="M81" s="168"/>
      <c r="N81" s="168"/>
      <c r="O81" s="168"/>
      <c r="P81" s="168"/>
      <c r="Q81" s="169"/>
      <c r="R81" s="168"/>
      <c r="S81" s="168"/>
      <c r="T81" s="168"/>
      <c r="U81" s="168"/>
      <c r="V81" s="168"/>
      <c r="W81" s="122"/>
      <c r="X81" s="123"/>
      <c r="Y81" s="122"/>
      <c r="Z81" s="122"/>
      <c r="AA81" s="122"/>
      <c r="AB81" s="122"/>
      <c r="AC81" s="122"/>
      <c r="AD81" s="122"/>
      <c r="AE81" s="124"/>
    </row>
    <row r="82" spans="4:54" ht="6" hidden="1" customHeight="1">
      <c r="H82" s="54"/>
    </row>
    <row r="83" spans="4:54" hidden="1">
      <c r="D83" s="54"/>
      <c r="H83" s="125"/>
      <c r="I83" s="61"/>
      <c r="J83" s="167"/>
      <c r="K83" s="61"/>
      <c r="L83" s="61"/>
      <c r="M83" s="61"/>
      <c r="N83" s="61"/>
      <c r="O83" s="61"/>
      <c r="P83" s="61"/>
      <c r="Q83" s="167"/>
      <c r="R83" s="61"/>
      <c r="S83" s="61"/>
      <c r="T83" s="61"/>
      <c r="U83" s="61"/>
      <c r="V83" s="61"/>
      <c r="W83" s="61"/>
      <c r="X83" s="167"/>
      <c r="Y83" s="61"/>
      <c r="Z83" s="61"/>
      <c r="AA83" s="61"/>
      <c r="AB83" s="61"/>
      <c r="AC83" s="61"/>
      <c r="AD83" s="61"/>
      <c r="AE83" s="3"/>
      <c r="AN83" s="250"/>
      <c r="AO83" s="295"/>
      <c r="AP83" s="327"/>
      <c r="AQ83" s="327"/>
      <c r="AR83" s="327"/>
      <c r="AS83" s="327"/>
      <c r="AT83" s="239"/>
      <c r="AU83" s="180"/>
      <c r="AV83" s="180"/>
      <c r="AW83" s="239"/>
      <c r="AX83" s="180"/>
      <c r="AY83" s="180"/>
      <c r="AZ83" s="239"/>
    </row>
    <row r="84" spans="4:54" hidden="1">
      <c r="D84" s="54"/>
      <c r="H84" s="126"/>
      <c r="I84" s="336" t="s">
        <v>231</v>
      </c>
      <c r="J84" s="336"/>
      <c r="K84" s="336"/>
      <c r="L84" s="336"/>
      <c r="M84" s="336"/>
      <c r="N84" s="336"/>
      <c r="O84" s="336"/>
      <c r="P84" s="336"/>
      <c r="Q84" s="336"/>
      <c r="R84" s="336"/>
      <c r="S84" s="336"/>
      <c r="T84" s="336"/>
      <c r="U84" s="336"/>
      <c r="V84" s="336"/>
      <c r="W84" s="336"/>
      <c r="X84" s="68"/>
      <c r="Y84" s="337" t="s">
        <v>0</v>
      </c>
      <c r="Z84" s="338"/>
      <c r="AA84" s="338"/>
      <c r="AB84" s="338"/>
      <c r="AC84" s="338"/>
      <c r="AD84" s="339"/>
      <c r="AE84" s="113"/>
      <c r="AN84" s="250"/>
      <c r="AO84" s="295"/>
      <c r="AP84" s="327"/>
      <c r="AQ84" s="327"/>
      <c r="AR84" s="327"/>
      <c r="AS84" s="327"/>
      <c r="AT84" s="239"/>
      <c r="AU84" s="180"/>
      <c r="AV84" s="180"/>
      <c r="AW84" s="239"/>
      <c r="AX84" s="180"/>
      <c r="AY84" s="180"/>
      <c r="AZ84" s="239"/>
    </row>
    <row r="85" spans="4:54" ht="13.5" hidden="1" thickBot="1">
      <c r="D85" s="54"/>
      <c r="H85" s="126"/>
      <c r="I85" s="336"/>
      <c r="J85" s="336"/>
      <c r="K85" s="336"/>
      <c r="L85" s="336"/>
      <c r="M85" s="336"/>
      <c r="N85" s="336"/>
      <c r="O85" s="336"/>
      <c r="P85" s="336"/>
      <c r="Q85" s="336"/>
      <c r="R85" s="336"/>
      <c r="S85" s="336"/>
      <c r="T85" s="336"/>
      <c r="U85" s="336"/>
      <c r="V85" s="336"/>
      <c r="W85" s="336"/>
      <c r="X85" s="68"/>
      <c r="Y85" s="340"/>
      <c r="Z85" s="341"/>
      <c r="AA85" s="341"/>
      <c r="AB85" s="341"/>
      <c r="AC85" s="341"/>
      <c r="AD85" s="342"/>
      <c r="AE85" s="113"/>
      <c r="AN85" s="250"/>
      <c r="AO85" s="295"/>
      <c r="AP85" s="327"/>
      <c r="AQ85" s="327"/>
      <c r="AR85" s="327"/>
      <c r="AS85" s="327"/>
      <c r="AT85" s="239"/>
      <c r="AU85" s="180"/>
      <c r="AV85" s="180"/>
      <c r="AW85" s="239"/>
      <c r="AX85" s="180"/>
      <c r="AY85" s="180"/>
      <c r="AZ85" s="239"/>
    </row>
    <row r="86" spans="4:54" ht="15.75" hidden="1">
      <c r="H86" s="126"/>
      <c r="I86" s="317" t="str">
        <f>IF(D15="","4º  do Grupo A",D15)</f>
        <v>4º  do Grupo A</v>
      </c>
      <c r="J86" s="317"/>
      <c r="K86" s="318"/>
      <c r="L86" s="69"/>
      <c r="M86" s="69"/>
      <c r="N86" s="70"/>
      <c r="O86" s="38" t="str">
        <f>IF(COUNT(L86:N86)&lt;1,"",IF(SUM(IF(L86&gt;L90,1,0),IF(M86&gt;M90,1,0),IF(N86&gt;N90,1,0))&gt;2,"??",SUM(IF(L86&gt;L90,1,0),IF(M86&gt;M90,1,0),IF(N86&gt;N90,1,0))))</f>
        <v/>
      </c>
      <c r="P86" s="55"/>
      <c r="Q86" s="40"/>
      <c r="R86" s="55"/>
      <c r="S86" s="55"/>
      <c r="T86" s="55"/>
      <c r="U86" s="55"/>
      <c r="V86" s="55"/>
      <c r="W86" s="54"/>
      <c r="X86" s="68"/>
      <c r="Y86" s="343" t="str">
        <f>IF(X92="13º Classificado","",X92)</f>
        <v/>
      </c>
      <c r="Z86" s="344"/>
      <c r="AA86" s="344"/>
      <c r="AB86" s="344"/>
      <c r="AC86" s="344"/>
      <c r="AD86" s="39" t="s">
        <v>232</v>
      </c>
      <c r="AE86" s="113"/>
      <c r="AN86" s="250"/>
      <c r="AO86" s="295"/>
      <c r="AP86" s="327"/>
      <c r="AQ86" s="327"/>
      <c r="AR86" s="327"/>
      <c r="AS86" s="327"/>
      <c r="AT86" s="239"/>
      <c r="AU86" s="180"/>
      <c r="AV86" s="180"/>
      <c r="AW86" s="239"/>
      <c r="AX86" s="180"/>
      <c r="AY86" s="180"/>
      <c r="AZ86" s="239"/>
    </row>
    <row r="87" spans="4:54" ht="15" hidden="1" customHeight="1">
      <c r="H87" s="126"/>
      <c r="I87" s="55"/>
      <c r="J87" s="40"/>
      <c r="K87" s="59"/>
      <c r="L87" s="55"/>
      <c r="M87" s="41"/>
      <c r="N87" s="41"/>
      <c r="O87" s="42"/>
      <c r="P87" s="36"/>
      <c r="Q87" s="40"/>
      <c r="R87" s="55"/>
      <c r="S87" s="55"/>
      <c r="T87" s="55"/>
      <c r="U87" s="55"/>
      <c r="V87" s="60"/>
      <c r="W87" s="53"/>
      <c r="X87" s="48"/>
      <c r="Y87" s="332" t="str">
        <f>IF(Y86="","",IF(Y86=P88,P96,P88))</f>
        <v/>
      </c>
      <c r="Z87" s="333" t="e">
        <f>IF(#REF!="","",IF(#REF!=W87,"","(2º) "))</f>
        <v>#REF!</v>
      </c>
      <c r="AA87" s="333" t="e">
        <f>IF(#REF!="","",IF(#REF!=X87,"","(2º) "))</f>
        <v>#REF!</v>
      </c>
      <c r="AB87" s="333" t="e">
        <f>IF(#REF!="","",IF(#REF!=Y87,"","(2º) "))</f>
        <v>#REF!</v>
      </c>
      <c r="AC87" s="333" t="e">
        <f>IF(#REF!="","",IF(#REF!=Z87,"","(2º) "))</f>
        <v>#REF!</v>
      </c>
      <c r="AD87" s="43" t="s">
        <v>233</v>
      </c>
      <c r="AE87" s="113"/>
      <c r="AN87" s="250"/>
      <c r="AO87" s="295"/>
      <c r="AP87" s="327"/>
      <c r="AQ87" s="327"/>
      <c r="AR87" s="327"/>
      <c r="AS87" s="327"/>
      <c r="AT87" s="239"/>
      <c r="AU87" s="180"/>
      <c r="AV87" s="180"/>
      <c r="AW87" s="239"/>
      <c r="AX87" s="180"/>
      <c r="AY87" s="180"/>
      <c r="AZ87" s="239"/>
    </row>
    <row r="88" spans="4:54" ht="15" hidden="1" customHeight="1">
      <c r="H88" s="126"/>
      <c r="I88" s="55"/>
      <c r="J88" s="40"/>
      <c r="K88" s="59"/>
      <c r="L88" s="55"/>
      <c r="M88" s="42"/>
      <c r="N88" s="42"/>
      <c r="O88" s="64">
        <v>41</v>
      </c>
      <c r="P88" s="322" t="str">
        <f>IF(OR(O86="",O90="")=TRUE,"Disputa 13º/14º Jogador1",IF(O86&gt;O90,I86,I90))</f>
        <v>Disputa 13º/14º Jogador1</v>
      </c>
      <c r="Q88" s="317"/>
      <c r="R88" s="317"/>
      <c r="S88" s="318"/>
      <c r="T88" s="69"/>
      <c r="U88" s="69"/>
      <c r="V88" s="69"/>
      <c r="W88" s="45" t="str">
        <f>IF(COUNT(T88:V88)&lt;1,"",IF(SUM(IF(T88&gt;T96,1,0),IF(U88&gt;U96,1,0),IF(V88&gt;V96,1,0))&gt;2,"??",SUM(IF(T88&gt;T96,1,0),IF(U88&gt;U96,1,0),IF(V88&gt;V96,1,0))))</f>
        <v/>
      </c>
      <c r="X88" s="48"/>
      <c r="Y88" s="332" t="str">
        <f>IF(P92="15º Classificado","",P92)</f>
        <v/>
      </c>
      <c r="Z88" s="333"/>
      <c r="AA88" s="333"/>
      <c r="AB88" s="333"/>
      <c r="AC88" s="333"/>
      <c r="AD88" s="43" t="s">
        <v>234</v>
      </c>
      <c r="AE88" s="113"/>
      <c r="AN88" s="250"/>
      <c r="AO88" s="295"/>
      <c r="AP88" s="327"/>
      <c r="AQ88" s="327"/>
      <c r="AR88" s="327"/>
      <c r="AS88" s="327"/>
      <c r="AT88" s="239"/>
      <c r="AU88" s="180"/>
      <c r="AV88" s="180"/>
      <c r="AW88" s="239"/>
      <c r="AX88" s="180"/>
      <c r="AY88" s="180"/>
      <c r="AZ88" s="239"/>
    </row>
    <row r="89" spans="4:54" ht="15.75" hidden="1" thickBot="1">
      <c r="H89" s="126"/>
      <c r="I89" s="55"/>
      <c r="J89" s="40"/>
      <c r="K89" s="59"/>
      <c r="L89" s="55"/>
      <c r="M89" s="42"/>
      <c r="N89" s="42"/>
      <c r="O89" s="42"/>
      <c r="P89" s="36"/>
      <c r="Q89" s="40"/>
      <c r="R89" s="55"/>
      <c r="S89" s="46"/>
      <c r="T89" s="42"/>
      <c r="U89" s="42"/>
      <c r="V89" s="67"/>
      <c r="W89" s="47"/>
      <c r="X89" s="48"/>
      <c r="Y89" s="334" t="str">
        <f>IF(Y88="","",IF(Y88=P90,P94,P90))</f>
        <v/>
      </c>
      <c r="Z89" s="335"/>
      <c r="AA89" s="335"/>
      <c r="AB89" s="335"/>
      <c r="AC89" s="335"/>
      <c r="AD89" s="164" t="s">
        <v>235</v>
      </c>
      <c r="AE89" s="113"/>
      <c r="AN89" s="250"/>
      <c r="AO89" s="295"/>
      <c r="AP89" s="327"/>
      <c r="AQ89" s="327"/>
      <c r="AR89" s="327"/>
      <c r="AS89" s="327"/>
      <c r="AT89" s="239"/>
      <c r="AU89" s="180"/>
      <c r="AV89" s="180"/>
      <c r="AW89" s="239"/>
      <c r="AX89" s="180"/>
      <c r="AY89" s="180"/>
      <c r="AZ89" s="239"/>
    </row>
    <row r="90" spans="4:54" ht="15" hidden="1">
      <c r="H90" s="126"/>
      <c r="I90" s="317" t="str">
        <f>IF(K15="","4º  do Grupo B",K15)</f>
        <v>4º  do Grupo B</v>
      </c>
      <c r="J90" s="317"/>
      <c r="K90" s="318"/>
      <c r="L90" s="69"/>
      <c r="M90" s="69"/>
      <c r="N90" s="70"/>
      <c r="O90" s="35" t="str">
        <f>IF(COUNT(L90:N90)&lt;1,"",IF(SUM(IF(L86&lt;L90,1,0),IF(M86&lt;M90,1,0),IF(N86&lt;N90,1,0))&gt;2,"??",SUM(IF(L86&lt;L90,1,0),IF(M86&lt;M90,1,0),IF(N86&lt;N90,1,0))))</f>
        <v/>
      </c>
      <c r="P90" s="324" t="str">
        <f>IF(P88="Disputa 13º/14º Jogador1","Disputa 15º/16º  Jogador1",IF(P88=I86,I90,I86))</f>
        <v>Disputa 15º/16º  Jogador1</v>
      </c>
      <c r="Q90" s="325"/>
      <c r="R90" s="326"/>
      <c r="S90" s="69"/>
      <c r="T90" s="69"/>
      <c r="U90" s="69"/>
      <c r="V90" s="49" t="str">
        <f>IF(COUNT(S90:U90)&lt;1,"",IF(SUM(IF(S90&gt;S94,1,0),IF(T90&gt;T94,1,0),IF(U90&gt;U94,1,0))&gt;2,"??",SUM(IF(S90&gt;S94,1,0),IF(T90&gt;T94,1,0),IF(U90&gt;U94,1,0))))</f>
        <v/>
      </c>
      <c r="W90" s="50"/>
      <c r="X90" s="48"/>
      <c r="Y90" s="53"/>
      <c r="Z90" s="53"/>
      <c r="AA90" s="53"/>
      <c r="AB90" s="53"/>
      <c r="AC90" s="53"/>
      <c r="AD90" s="54"/>
      <c r="AE90" s="113"/>
      <c r="AN90" s="250"/>
      <c r="AO90" s="295"/>
      <c r="AP90" s="327"/>
      <c r="AQ90" s="327"/>
      <c r="AR90" s="327"/>
      <c r="AS90" s="327"/>
      <c r="AT90" s="239"/>
      <c r="AU90" s="180"/>
      <c r="AV90" s="180"/>
      <c r="AW90" s="239"/>
      <c r="AX90" s="180"/>
      <c r="AY90" s="180"/>
      <c r="AZ90" s="239"/>
    </row>
    <row r="91" spans="4:54" ht="12.75" hidden="1" customHeight="1">
      <c r="H91" s="126"/>
      <c r="I91" s="55"/>
      <c r="J91" s="40"/>
      <c r="K91" s="59"/>
      <c r="L91" s="46"/>
      <c r="M91" s="42"/>
      <c r="N91" s="42"/>
      <c r="O91" s="42"/>
      <c r="P91" s="55"/>
      <c r="Q91" s="51"/>
      <c r="R91" s="46"/>
      <c r="S91" s="46"/>
      <c r="T91" s="41"/>
      <c r="U91" s="41"/>
      <c r="V91" s="52"/>
      <c r="W91" s="50"/>
      <c r="X91" s="48"/>
      <c r="Y91" s="53"/>
      <c r="Z91" s="53"/>
      <c r="AA91" s="53"/>
      <c r="AB91" s="53"/>
      <c r="AC91" s="53"/>
      <c r="AD91" s="54"/>
      <c r="AE91" s="113"/>
      <c r="AN91" s="250"/>
      <c r="AO91" s="295"/>
      <c r="AP91" s="295"/>
      <c r="AQ91" s="237"/>
      <c r="AR91" s="238"/>
      <c r="AS91" s="295"/>
      <c r="AT91" s="239"/>
      <c r="AU91" s="180"/>
      <c r="AV91" s="180"/>
      <c r="AW91" s="239"/>
      <c r="AX91" s="180"/>
      <c r="AY91" s="180"/>
      <c r="AZ91" s="239"/>
      <c r="BA91" s="108"/>
      <c r="BB91" s="108"/>
    </row>
    <row r="92" spans="4:54" ht="15.75" hidden="1">
      <c r="H92" s="126"/>
      <c r="I92" s="55"/>
      <c r="J92" s="40"/>
      <c r="K92" s="59"/>
      <c r="L92" s="55"/>
      <c r="M92" s="42"/>
      <c r="N92" s="42"/>
      <c r="O92" s="42"/>
      <c r="P92" s="328" t="str">
        <f>IF(OR(V90="",V94="")=TRUE,"15º Classificado",IF(V90&gt;V94,P90,P94))</f>
        <v>15º Classificado</v>
      </c>
      <c r="Q92" s="328"/>
      <c r="R92" s="328"/>
      <c r="S92" s="328"/>
      <c r="T92" s="328"/>
      <c r="U92" s="328"/>
      <c r="V92" s="65">
        <v>43</v>
      </c>
      <c r="W92" s="66">
        <v>44</v>
      </c>
      <c r="X92" s="329" t="str">
        <f>IF(OR(W88="",W96="")=TRUE,"13º Classificado",IF(W88&gt;W96,P88,P96))</f>
        <v>13º Classificado</v>
      </c>
      <c r="Y92" s="330"/>
      <c r="Z92" s="330"/>
      <c r="AA92" s="330"/>
      <c r="AB92" s="330"/>
      <c r="AC92" s="330"/>
      <c r="AD92" s="54"/>
      <c r="AE92" s="113"/>
      <c r="AN92" s="250"/>
      <c r="AO92" s="295"/>
      <c r="AP92" s="295"/>
      <c r="AQ92" s="237"/>
      <c r="AR92" s="238"/>
      <c r="AS92" s="295"/>
      <c r="AT92" s="239"/>
      <c r="AU92" s="180"/>
      <c r="AV92" s="180"/>
      <c r="AW92" s="239"/>
      <c r="AX92" s="180"/>
      <c r="AY92" s="180"/>
      <c r="AZ92" s="239"/>
      <c r="BA92" s="108"/>
      <c r="BB92" s="108"/>
    </row>
    <row r="93" spans="4:54" ht="15" hidden="1">
      <c r="H93" s="126"/>
      <c r="I93" s="55"/>
      <c r="J93" s="40"/>
      <c r="K93" s="59"/>
      <c r="L93" s="55"/>
      <c r="M93" s="42"/>
      <c r="N93" s="42"/>
      <c r="O93" s="42"/>
      <c r="P93" s="55"/>
      <c r="Q93" s="40"/>
      <c r="R93" s="55"/>
      <c r="S93" s="55"/>
      <c r="T93" s="42"/>
      <c r="U93" s="42"/>
      <c r="V93" s="56"/>
      <c r="W93" s="50"/>
      <c r="X93" s="48"/>
      <c r="Y93" s="331"/>
      <c r="Z93" s="331"/>
      <c r="AA93" s="331"/>
      <c r="AB93" s="331"/>
      <c r="AC93" s="331"/>
      <c r="AD93" s="54"/>
      <c r="AE93" s="113"/>
      <c r="AN93" s="250"/>
      <c r="AO93" s="295"/>
      <c r="AP93" s="295"/>
      <c r="AQ93" s="237"/>
      <c r="AR93" s="238"/>
      <c r="AS93" s="295"/>
      <c r="AT93" s="239"/>
      <c r="AU93" s="180"/>
      <c r="AV93" s="180"/>
      <c r="AW93" s="239"/>
      <c r="AX93" s="180"/>
      <c r="AY93" s="180"/>
      <c r="AZ93" s="239"/>
      <c r="BA93" s="108"/>
      <c r="BB93" s="108"/>
    </row>
    <row r="94" spans="4:54" ht="15" hidden="1">
      <c r="H94" s="126"/>
      <c r="I94" s="317" t="str">
        <f>IF(R15="","4º  do Grupo C",R15)</f>
        <v>4º  do Grupo C</v>
      </c>
      <c r="J94" s="317"/>
      <c r="K94" s="318"/>
      <c r="L94" s="69"/>
      <c r="M94" s="69"/>
      <c r="N94" s="70"/>
      <c r="O94" s="38" t="str">
        <f>IF(COUNT(L94:N94)&lt;1,"",IF(SUM(IF(L94&gt;L98,1,0),IF(M94&gt;M98,1,0),IF(N94&gt;N98,1,0))&gt;2,"??",SUM(IF(L94&gt;L98,1,0),IF(M94&gt;M98,1,0),IF(N94&gt;N98,1,0))))</f>
        <v/>
      </c>
      <c r="P94" s="319" t="str">
        <f>IF(P96="Disputa 13º/14º Jogador2","Disputa 15º/16º  Jogador2",IF(P96=I94,I98,I94))</f>
        <v>Disputa 15º/16º  Jogador2</v>
      </c>
      <c r="Q94" s="320"/>
      <c r="R94" s="321"/>
      <c r="S94" s="69"/>
      <c r="T94" s="69"/>
      <c r="U94" s="69"/>
      <c r="V94" s="49" t="str">
        <f>IF(COUNT(S94:U94)&lt;1,"",IF(SUM(IF(S90&lt;S94,1,0),IF(T90&lt;T94,1,0),IF(U90&lt;U94,1,0))&gt;2,"??",SUM(IF(S90&lt;S94,1,0),IF(T90&lt;T94,1,0),IF(U90&lt;U94,1,0))))</f>
        <v/>
      </c>
      <c r="W94" s="50"/>
      <c r="X94" s="48"/>
      <c r="Y94" s="53"/>
      <c r="Z94" s="53"/>
      <c r="AA94" s="53"/>
      <c r="AB94" s="57"/>
      <c r="AC94" s="57"/>
      <c r="AD94" s="58"/>
      <c r="AE94" s="113"/>
      <c r="AN94" s="250"/>
      <c r="AO94" s="295"/>
      <c r="AP94" s="295"/>
      <c r="AQ94" s="237"/>
      <c r="AR94" s="238"/>
      <c r="AS94" s="295"/>
      <c r="AT94" s="239"/>
      <c r="AU94" s="180"/>
      <c r="AV94" s="180"/>
      <c r="AW94" s="239"/>
      <c r="AX94" s="180"/>
      <c r="AY94" s="180"/>
      <c r="AZ94" s="239"/>
      <c r="BA94" s="108"/>
      <c r="BB94" s="108"/>
    </row>
    <row r="95" spans="4:54" hidden="1">
      <c r="H95" s="126"/>
      <c r="I95" s="55"/>
      <c r="J95" s="40"/>
      <c r="K95" s="59"/>
      <c r="L95" s="55"/>
      <c r="M95" s="41"/>
      <c r="N95" s="41"/>
      <c r="O95" s="42"/>
      <c r="P95" s="36"/>
      <c r="Q95" s="51"/>
      <c r="R95" s="46"/>
      <c r="S95" s="55"/>
      <c r="T95" s="42"/>
      <c r="U95" s="42"/>
      <c r="V95" s="67"/>
      <c r="W95" s="50"/>
      <c r="X95" s="48"/>
      <c r="Y95" s="53"/>
      <c r="Z95" s="53"/>
      <c r="AA95" s="53"/>
      <c r="AB95" s="53"/>
      <c r="AC95" s="53"/>
      <c r="AD95" s="54"/>
      <c r="AE95" s="113"/>
    </row>
    <row r="96" spans="4:54" ht="15" hidden="1">
      <c r="H96" s="126"/>
      <c r="I96" s="55"/>
      <c r="J96" s="40"/>
      <c r="K96" s="59"/>
      <c r="L96" s="55"/>
      <c r="M96" s="42"/>
      <c r="N96" s="42"/>
      <c r="O96" s="64">
        <v>42</v>
      </c>
      <c r="P96" s="322" t="str">
        <f>IF(OR(O94="",O98="")=TRUE,"Disputa 13º/14º Jogador2",IF(O94&gt;O98,I94,I98))</f>
        <v>Disputa 13º/14º Jogador2</v>
      </c>
      <c r="Q96" s="317"/>
      <c r="R96" s="317"/>
      <c r="S96" s="318"/>
      <c r="T96" s="69"/>
      <c r="U96" s="69"/>
      <c r="V96" s="69"/>
      <c r="W96" s="45" t="str">
        <f>IF(COUNT(T96:V96)&lt;1,"",IF(SUM(IF(T88&lt;T96,1,0),IF(U88&lt;U96,1,0),IF(V88&lt;V96,1,0))&gt;2,"??",SUM(IF(T88&lt;T96,1,0),IF(U88&lt;U96,1,0),IF(V88&lt;V96,1,0))))</f>
        <v/>
      </c>
      <c r="X96" s="48"/>
      <c r="Y96" s="53"/>
      <c r="Z96" s="53"/>
      <c r="AA96" s="53"/>
      <c r="AB96" s="53"/>
      <c r="AC96" s="53"/>
      <c r="AD96" s="54"/>
      <c r="AE96" s="113"/>
    </row>
    <row r="97" spans="8:94" ht="15" hidden="1" customHeight="1">
      <c r="H97" s="126"/>
      <c r="I97" s="55"/>
      <c r="J97" s="40"/>
      <c r="K97" s="59"/>
      <c r="L97" s="55"/>
      <c r="M97" s="42"/>
      <c r="N97" s="42"/>
      <c r="O97" s="42"/>
      <c r="P97" s="36"/>
      <c r="Q97" s="40"/>
      <c r="R97" s="55"/>
      <c r="S97" s="46"/>
      <c r="T97" s="55"/>
      <c r="U97" s="55"/>
      <c r="V97" s="60"/>
      <c r="W97" s="53"/>
      <c r="X97" s="48"/>
      <c r="Y97" s="53"/>
      <c r="Z97" s="53"/>
      <c r="AA97" s="53"/>
      <c r="AB97" s="53"/>
      <c r="AC97" s="53"/>
      <c r="AD97" s="54"/>
      <c r="AE97" s="113"/>
    </row>
    <row r="98" spans="8:94" ht="15" hidden="1">
      <c r="H98" s="126"/>
      <c r="I98" s="317" t="str">
        <f>IF(Y15="","4º  do Grupo D",Y15)</f>
        <v>4º  do Grupo D</v>
      </c>
      <c r="J98" s="317"/>
      <c r="K98" s="318"/>
      <c r="L98" s="69"/>
      <c r="M98" s="69"/>
      <c r="N98" s="70"/>
      <c r="O98" s="35" t="str">
        <f>IF(COUNT(L98:N98)&lt;1,"",IF(SUM(IF(L94&lt;L98,1,0),IF(M94&lt;M98,1,0),IF(N94&lt;N98,1,0))&gt;2,"??",SUM(IF(L94&lt;L98,1,0),IF(M94&lt;M98,1,0),IF(N94&lt;N98,1,0))))</f>
        <v/>
      </c>
      <c r="P98" s="36"/>
      <c r="Q98" s="40"/>
      <c r="R98" s="55"/>
      <c r="S98" s="55"/>
      <c r="T98" s="55"/>
      <c r="U98" s="55"/>
      <c r="V98" s="55"/>
      <c r="W98" s="54"/>
      <c r="X98" s="68"/>
      <c r="Y98" s="54"/>
      <c r="Z98" s="54"/>
      <c r="AA98" s="54"/>
      <c r="AB98" s="54"/>
      <c r="AC98" s="54"/>
      <c r="AD98" s="54"/>
      <c r="AE98" s="113"/>
    </row>
    <row r="99" spans="8:94" hidden="1">
      <c r="H99" s="128"/>
      <c r="I99" s="168"/>
      <c r="J99" s="169"/>
      <c r="K99" s="168"/>
      <c r="L99" s="170"/>
      <c r="M99" s="168"/>
      <c r="N99" s="168"/>
      <c r="O99" s="168"/>
      <c r="P99" s="168"/>
      <c r="Q99" s="169"/>
      <c r="R99" s="168"/>
      <c r="S99" s="168"/>
      <c r="T99" s="168"/>
      <c r="U99" s="168"/>
      <c r="V99" s="168"/>
      <c r="W99" s="122"/>
      <c r="X99" s="123"/>
      <c r="Y99" s="122"/>
      <c r="Z99" s="122"/>
      <c r="AA99" s="122"/>
      <c r="AB99" s="122"/>
      <c r="AC99" s="122"/>
      <c r="AD99" s="122"/>
      <c r="AE99" s="124"/>
    </row>
    <row r="100" spans="8:94" ht="48.75" hidden="1" customHeight="1" thickBot="1">
      <c r="BA100" s="323"/>
      <c r="BB100" s="323"/>
      <c r="BC100" s="323"/>
      <c r="BD100" s="323"/>
      <c r="BE100" s="323"/>
      <c r="BF100" s="323"/>
      <c r="BG100" s="323"/>
      <c r="BH100" s="323"/>
      <c r="BI100" s="323"/>
      <c r="BJ100" s="323"/>
      <c r="BK100" s="323"/>
      <c r="BL100" s="323"/>
      <c r="BM100" s="323"/>
      <c r="BN100" s="323"/>
      <c r="BO100" s="323"/>
      <c r="BP100" s="323"/>
      <c r="BQ100" s="323"/>
      <c r="BR100" s="323"/>
      <c r="BS100" s="323"/>
      <c r="BT100" s="323"/>
      <c r="BU100" s="323"/>
      <c r="BV100" s="323"/>
      <c r="BW100" s="323"/>
      <c r="BX100" s="323"/>
      <c r="BY100" s="323"/>
      <c r="BZ100" s="323"/>
      <c r="CA100" s="323"/>
      <c r="CB100" s="323"/>
      <c r="CC100" s="323"/>
      <c r="CD100" s="323"/>
      <c r="CE100" s="323"/>
      <c r="CF100" s="323"/>
      <c r="CG100" s="323"/>
      <c r="CH100" s="323"/>
    </row>
    <row r="101" spans="8:94" ht="64.5" hidden="1" customHeight="1" thickBot="1">
      <c r="BA101" s="87"/>
      <c r="BB101" s="315" t="str">
        <f>IF(BC102="","",CONCATENATE(VLOOKUP(BC102,$CJ$102:$CP$145,2,FALSE),"  -  ",VLOOKUP(BC102,$CJ$102:$CP$145,3,FALSE),,"  -  ",VLOOKUP(BC102,$CJ$102:$CP$145,4,FALSE),"  -  ",VLOOKUP(BC102,$CJ$102:$CP$145,5,FALSE)))</f>
        <v>Iniciados  -  Pares  -  Mistos  -  Grupo A</v>
      </c>
      <c r="BC101" s="315"/>
      <c r="BD101" s="315"/>
      <c r="BE101" s="315"/>
      <c r="BF101" s="315"/>
      <c r="BG101" s="315"/>
      <c r="BH101" s="315"/>
      <c r="BI101" s="315"/>
      <c r="BJ101" s="315"/>
      <c r="BK101" s="315"/>
      <c r="BL101" s="315"/>
      <c r="BM101" s="315"/>
      <c r="BN101" s="315"/>
      <c r="BO101" s="86"/>
      <c r="BP101" s="86"/>
      <c r="BQ101" s="86"/>
      <c r="BR101" s="86"/>
      <c r="BS101" s="86"/>
      <c r="BT101" s="86"/>
      <c r="BU101" s="86"/>
      <c r="BV101" s="86"/>
      <c r="BW101" s="86"/>
      <c r="BX101" s="86"/>
      <c r="BY101" s="86"/>
      <c r="BZ101" s="86"/>
      <c r="CA101" s="86"/>
      <c r="CB101" s="86"/>
      <c r="CC101" s="86"/>
      <c r="CD101" s="86"/>
      <c r="CE101" s="86"/>
      <c r="CF101" s="86"/>
      <c r="CG101" s="86"/>
      <c r="CH101" s="76"/>
      <c r="CJ101" s="132" t="s">
        <v>27</v>
      </c>
      <c r="CK101" s="132" t="s">
        <v>28</v>
      </c>
      <c r="CL101" s="132" t="s">
        <v>30</v>
      </c>
      <c r="CM101" s="132" t="s">
        <v>29</v>
      </c>
      <c r="CN101" s="132" t="s">
        <v>43</v>
      </c>
      <c r="CO101" s="132" t="s">
        <v>33</v>
      </c>
      <c r="CP101" s="132" t="s">
        <v>34</v>
      </c>
    </row>
    <row r="102" spans="8:94" ht="30" hidden="1" customHeight="1">
      <c r="BA102" s="88"/>
      <c r="BB102" s="89" t="s">
        <v>26</v>
      </c>
      <c r="BC102" s="137">
        <f>IF($AG$27="","",$AG$27)</f>
        <v>1</v>
      </c>
      <c r="BD102" s="84"/>
      <c r="BE102" s="84"/>
      <c r="BF102" s="84"/>
      <c r="BG102" s="84"/>
      <c r="BH102" s="84"/>
      <c r="BI102" s="84"/>
      <c r="BJ102" s="251" t="s">
        <v>65</v>
      </c>
      <c r="BK102" s="84"/>
      <c r="BL102" s="84"/>
      <c r="BM102" s="252"/>
      <c r="BN102" s="253"/>
      <c r="BO102" s="90"/>
      <c r="BP102" s="90"/>
      <c r="BQ102" s="90"/>
      <c r="BR102" s="91"/>
      <c r="BS102" s="84"/>
      <c r="BT102" s="84"/>
      <c r="BU102" s="84"/>
      <c r="BV102" s="84"/>
      <c r="BW102" s="84"/>
      <c r="BX102" s="84"/>
      <c r="BY102" s="84"/>
      <c r="BZ102" s="84"/>
      <c r="CA102" s="84"/>
      <c r="CB102" s="84"/>
      <c r="CC102" s="84"/>
      <c r="CD102" s="84"/>
      <c r="CE102" s="84"/>
      <c r="CF102" s="84"/>
      <c r="CG102" s="84"/>
      <c r="CH102" s="92"/>
      <c r="CJ102" s="133">
        <f>$C$16</f>
        <v>1</v>
      </c>
      <c r="CK102" s="134" t="str">
        <f t="shared" ref="CK102:CK145" si="9">$H$2</f>
        <v>Iniciados</v>
      </c>
      <c r="CL102" s="134" t="str">
        <f t="shared" ref="CL102:CL145" si="10">$H$3</f>
        <v>Pares</v>
      </c>
      <c r="CM102" s="134" t="str">
        <f t="shared" ref="CM102:CM145" si="11">$Q$3</f>
        <v>Mistos</v>
      </c>
      <c r="CN102" s="134" t="str">
        <f>$C$5</f>
        <v>Grupo A</v>
      </c>
      <c r="CO102" s="134" t="str">
        <f>$D$16</f>
        <v>J Eduardo/G Gomes (Lisboa)</v>
      </c>
      <c r="CP102" s="134" t="str">
        <f>$D$17</f>
        <v/>
      </c>
    </row>
    <row r="103" spans="8:94" ht="7.5" hidden="1" customHeight="1">
      <c r="BA103" s="88"/>
      <c r="BB103" s="84"/>
      <c r="BC103" s="84"/>
      <c r="BD103" s="84"/>
      <c r="BE103" s="84"/>
      <c r="BF103" s="84"/>
      <c r="BG103" s="84"/>
      <c r="BH103" s="84"/>
      <c r="BI103" s="84"/>
      <c r="BJ103" s="84"/>
      <c r="BK103" s="84"/>
      <c r="BL103" s="84"/>
      <c r="BM103" s="84"/>
      <c r="BN103" s="84"/>
      <c r="BO103" s="84"/>
      <c r="BP103" s="84"/>
      <c r="BQ103" s="84"/>
      <c r="BR103" s="84"/>
      <c r="BS103" s="84"/>
      <c r="BT103" s="84"/>
      <c r="BU103" s="84"/>
      <c r="BV103" s="84"/>
      <c r="BW103" s="84"/>
      <c r="BX103" s="84"/>
      <c r="BY103" s="84"/>
      <c r="BZ103" s="84"/>
      <c r="CA103" s="84"/>
      <c r="CB103" s="84"/>
      <c r="CC103" s="84"/>
      <c r="CD103" s="84"/>
      <c r="CE103" s="84"/>
      <c r="CF103" s="84"/>
      <c r="CG103" s="84"/>
      <c r="CH103" s="92"/>
      <c r="CJ103" s="135">
        <f>$C$18</f>
        <v>2</v>
      </c>
      <c r="CK103" s="135" t="str">
        <f t="shared" si="9"/>
        <v>Iniciados</v>
      </c>
      <c r="CL103" s="135" t="str">
        <f t="shared" si="10"/>
        <v>Pares</v>
      </c>
      <c r="CM103" s="135" t="str">
        <f t="shared" si="11"/>
        <v>Mistos</v>
      </c>
      <c r="CN103" s="135" t="str">
        <f>$C$5</f>
        <v>Grupo A</v>
      </c>
      <c r="CO103" s="135" t="str">
        <f>$D$18</f>
        <v>F Monteiro/B Campos (Norte)</v>
      </c>
      <c r="CP103" s="135" t="str">
        <f>$D$19</f>
        <v>L Pascoal/P Bezerra (Alentejo)</v>
      </c>
    </row>
    <row r="104" spans="8:94" ht="17.25" hidden="1" customHeight="1" thickBot="1">
      <c r="BA104" s="88"/>
      <c r="BB104" s="316" t="s">
        <v>35</v>
      </c>
      <c r="BC104" s="316"/>
      <c r="BD104" s="93" t="s">
        <v>21</v>
      </c>
      <c r="BE104" s="93"/>
      <c r="BF104" s="93"/>
      <c r="BG104" s="93" t="s">
        <v>22</v>
      </c>
      <c r="BH104" s="93"/>
      <c r="BI104" s="93"/>
      <c r="BJ104" s="93" t="s">
        <v>23</v>
      </c>
      <c r="BK104" s="93"/>
      <c r="BL104" s="93"/>
      <c r="BM104" s="84"/>
      <c r="BN104" s="84"/>
      <c r="BO104" s="84"/>
      <c r="BP104" s="84"/>
      <c r="BQ104" s="84"/>
      <c r="BR104" s="84"/>
      <c r="BS104" s="84"/>
      <c r="BT104" s="84"/>
      <c r="BU104" s="84"/>
      <c r="BV104" s="84"/>
      <c r="BW104" s="84"/>
      <c r="BX104" s="84"/>
      <c r="BY104" s="84"/>
      <c r="BZ104" s="84"/>
      <c r="CA104" s="84"/>
      <c r="CB104" s="84"/>
      <c r="CC104" s="84"/>
      <c r="CD104" s="84"/>
      <c r="CE104" s="84"/>
      <c r="CF104" s="84"/>
      <c r="CG104" s="84"/>
      <c r="CH104" s="92"/>
      <c r="CJ104" s="135">
        <f>$J$16</f>
        <v>3</v>
      </c>
      <c r="CK104" s="135" t="str">
        <f t="shared" si="9"/>
        <v>Iniciados</v>
      </c>
      <c r="CL104" s="135" t="str">
        <f t="shared" si="10"/>
        <v>Pares</v>
      </c>
      <c r="CM104" s="135" t="str">
        <f t="shared" si="11"/>
        <v>Mistos</v>
      </c>
      <c r="CN104" s="135" t="str">
        <f>$J$5</f>
        <v>Grupo B</v>
      </c>
      <c r="CO104" s="135" t="str">
        <f>$K$16</f>
        <v>M Vieira/L Nunes (Centro)</v>
      </c>
      <c r="CP104" s="135" t="str">
        <f>$K$17</f>
        <v/>
      </c>
    </row>
    <row r="105" spans="8:94" ht="19.5" hidden="1" customHeight="1">
      <c r="BA105" s="88"/>
      <c r="BB105" s="302" t="str">
        <f>IF(BC102="","",VLOOKUP(BC102,$CJ$102:$CP$145,6,FALSE))</f>
        <v>J Eduardo/G Gomes (Lisboa)</v>
      </c>
      <c r="BC105" s="303"/>
      <c r="BD105" s="302"/>
      <c r="BE105" s="306"/>
      <c r="BF105" s="303"/>
      <c r="BG105" s="302"/>
      <c r="BH105" s="306"/>
      <c r="BI105" s="303"/>
      <c r="BJ105" s="302"/>
      <c r="BK105" s="306"/>
      <c r="BL105" s="303"/>
      <c r="BM105" s="72"/>
      <c r="BN105" s="72"/>
      <c r="BO105" s="308"/>
      <c r="BP105" s="308"/>
      <c r="BQ105" s="308"/>
      <c r="BR105" s="94"/>
      <c r="BS105" s="95"/>
      <c r="BT105" s="84"/>
      <c r="BU105" s="84"/>
      <c r="BV105" s="84"/>
      <c r="BW105" s="84"/>
      <c r="BX105" s="84"/>
      <c r="BY105" s="84"/>
      <c r="BZ105" s="84"/>
      <c r="CA105" s="84"/>
      <c r="CB105" s="84"/>
      <c r="CC105" s="84"/>
      <c r="CD105" s="84"/>
      <c r="CE105" s="84"/>
      <c r="CF105" s="84"/>
      <c r="CG105" s="84"/>
      <c r="CH105" s="92"/>
      <c r="CJ105" s="135">
        <f>$J$18</f>
        <v>4</v>
      </c>
      <c r="CK105" s="135" t="str">
        <f t="shared" si="9"/>
        <v>Iniciados</v>
      </c>
      <c r="CL105" s="135" t="str">
        <f t="shared" si="10"/>
        <v>Pares</v>
      </c>
      <c r="CM105" s="135" t="str">
        <f t="shared" si="11"/>
        <v>Mistos</v>
      </c>
      <c r="CN105" s="135" t="str">
        <f>$J$5</f>
        <v>Grupo B</v>
      </c>
      <c r="CO105" s="135" t="str">
        <f>$K$18</f>
        <v>I Medeiros/G Roberto (Lisboa)</v>
      </c>
      <c r="CP105" s="135" t="str">
        <f>$K$19</f>
        <v>A Ferreira/J Lopes (Norte)</v>
      </c>
    </row>
    <row r="106" spans="8:94" ht="19.5" hidden="1" customHeight="1" thickBot="1">
      <c r="BA106" s="88"/>
      <c r="BB106" s="304"/>
      <c r="BC106" s="305"/>
      <c r="BD106" s="304"/>
      <c r="BE106" s="307"/>
      <c r="BF106" s="305"/>
      <c r="BG106" s="304"/>
      <c r="BH106" s="307"/>
      <c r="BI106" s="305"/>
      <c r="BJ106" s="304"/>
      <c r="BK106" s="307"/>
      <c r="BL106" s="305"/>
      <c r="BM106" s="72"/>
      <c r="BN106" s="72"/>
      <c r="BO106" s="308"/>
      <c r="BP106" s="308"/>
      <c r="BQ106" s="308"/>
      <c r="BR106" s="94"/>
      <c r="BS106" s="95"/>
      <c r="BT106" s="84"/>
      <c r="BU106" s="84"/>
      <c r="BV106" s="84"/>
      <c r="BW106" s="84"/>
      <c r="BX106" s="84"/>
      <c r="BY106" s="84"/>
      <c r="BZ106" s="84"/>
      <c r="CA106" s="84"/>
      <c r="CB106" s="84"/>
      <c r="CC106" s="84"/>
      <c r="CD106" s="84"/>
      <c r="CE106" s="84"/>
      <c r="CF106" s="84"/>
      <c r="CG106" s="84"/>
      <c r="CH106" s="92"/>
      <c r="CJ106" s="135">
        <f>$Q$16</f>
        <v>5</v>
      </c>
      <c r="CK106" s="135" t="str">
        <f t="shared" si="9"/>
        <v>Iniciados</v>
      </c>
      <c r="CL106" s="135" t="str">
        <f t="shared" si="10"/>
        <v>Pares</v>
      </c>
      <c r="CM106" s="135" t="str">
        <f t="shared" si="11"/>
        <v>Mistos</v>
      </c>
      <c r="CN106" s="135" t="str">
        <f>$Q$5</f>
        <v>Grupo C</v>
      </c>
      <c r="CO106" s="135" t="str">
        <f>$R$16</f>
        <v>M Eiras/S Veiga (Norte)</v>
      </c>
      <c r="CP106" s="135" t="str">
        <f>$R$17</f>
        <v/>
      </c>
    </row>
    <row r="107" spans="8:94" ht="19.5" hidden="1" customHeight="1">
      <c r="BA107" s="88"/>
      <c r="BB107" s="302" t="str">
        <f>IF(BC102="","",VLOOKUP(BC102,$CJ$102:$CP$145,7,FALSE))</f>
        <v/>
      </c>
      <c r="BC107" s="303"/>
      <c r="BD107" s="302"/>
      <c r="BE107" s="306"/>
      <c r="BF107" s="303"/>
      <c r="BG107" s="302"/>
      <c r="BH107" s="306"/>
      <c r="BI107" s="303"/>
      <c r="BJ107" s="302"/>
      <c r="BK107" s="306"/>
      <c r="BL107" s="303"/>
      <c r="BM107" s="72"/>
      <c r="BN107" s="72"/>
      <c r="BO107" s="308"/>
      <c r="BP107" s="308"/>
      <c r="BQ107" s="308"/>
      <c r="BR107" s="94"/>
      <c r="BS107" s="95"/>
      <c r="BT107" s="84"/>
      <c r="BU107" s="84"/>
      <c r="BV107" s="84"/>
      <c r="BW107" s="84"/>
      <c r="BX107" s="84"/>
      <c r="BY107" s="84"/>
      <c r="BZ107" s="84"/>
      <c r="CA107" s="84"/>
      <c r="CB107" s="84"/>
      <c r="CC107" s="84"/>
      <c r="CD107" s="84"/>
      <c r="CE107" s="84"/>
      <c r="CF107" s="84"/>
      <c r="CG107" s="84"/>
      <c r="CH107" s="92"/>
      <c r="CJ107" s="135">
        <f>$Q$18</f>
        <v>6</v>
      </c>
      <c r="CK107" s="135" t="str">
        <f t="shared" si="9"/>
        <v>Iniciados</v>
      </c>
      <c r="CL107" s="135" t="str">
        <f t="shared" si="10"/>
        <v>Pares</v>
      </c>
      <c r="CM107" s="135" t="str">
        <f t="shared" si="11"/>
        <v>Mistos</v>
      </c>
      <c r="CN107" s="135" t="str">
        <f>$Q$5</f>
        <v>Grupo C</v>
      </c>
      <c r="CO107" s="135" t="str">
        <f>$R$18</f>
        <v>N Silva/F Silva (Algarve)</v>
      </c>
      <c r="CP107" s="135" t="str">
        <f>$R$19</f>
        <v>M Henriques/F Seita (Lisboa)</v>
      </c>
    </row>
    <row r="108" spans="8:94" ht="19.5" hidden="1" customHeight="1" thickBot="1">
      <c r="BA108" s="88"/>
      <c r="BB108" s="304"/>
      <c r="BC108" s="305"/>
      <c r="BD108" s="304"/>
      <c r="BE108" s="307"/>
      <c r="BF108" s="305"/>
      <c r="BG108" s="304"/>
      <c r="BH108" s="307"/>
      <c r="BI108" s="305"/>
      <c r="BJ108" s="304"/>
      <c r="BK108" s="307"/>
      <c r="BL108" s="305"/>
      <c r="BM108" s="72"/>
      <c r="BN108" s="72"/>
      <c r="BO108" s="308"/>
      <c r="BP108" s="308"/>
      <c r="BQ108" s="308"/>
      <c r="BR108" s="96"/>
      <c r="BS108" s="95"/>
      <c r="BT108" s="84"/>
      <c r="BU108" s="84"/>
      <c r="BV108" s="84"/>
      <c r="BW108" s="84"/>
      <c r="BX108" s="84"/>
      <c r="BY108" s="84"/>
      <c r="BZ108" s="84"/>
      <c r="CA108" s="84"/>
      <c r="CB108" s="84"/>
      <c r="CC108" s="84"/>
      <c r="CD108" s="84"/>
      <c r="CE108" s="84"/>
      <c r="CF108" s="84"/>
      <c r="CG108" s="84"/>
      <c r="CH108" s="92"/>
      <c r="CJ108" s="135">
        <f>$X$16</f>
        <v>7</v>
      </c>
      <c r="CK108" s="135" t="str">
        <f t="shared" si="9"/>
        <v>Iniciados</v>
      </c>
      <c r="CL108" s="135" t="str">
        <f t="shared" si="10"/>
        <v>Pares</v>
      </c>
      <c r="CM108" s="135" t="str">
        <f t="shared" si="11"/>
        <v>Mistos</v>
      </c>
      <c r="CN108" s="135" t="str">
        <f>$X$5</f>
        <v>Grupo D</v>
      </c>
      <c r="CO108" s="135" t="str">
        <f>$Y$16</f>
        <v>L Pala/F Silva (Centro)</v>
      </c>
      <c r="CP108" s="135" t="str">
        <f>$Y$17</f>
        <v/>
      </c>
    </row>
    <row r="109" spans="8:94" ht="22.5" hidden="1" customHeight="1" thickBot="1">
      <c r="BA109" s="88"/>
      <c r="BB109" s="97" t="s">
        <v>24</v>
      </c>
      <c r="BC109" s="309"/>
      <c r="BD109" s="310"/>
      <c r="BE109" s="310"/>
      <c r="BF109" s="310"/>
      <c r="BG109" s="311"/>
      <c r="BH109" s="311"/>
      <c r="BI109" s="311"/>
      <c r="BJ109" s="311"/>
      <c r="BK109" s="311"/>
      <c r="BL109" s="311"/>
      <c r="BM109" s="312"/>
      <c r="BN109" s="313"/>
      <c r="BO109" s="313"/>
      <c r="BP109" s="313"/>
      <c r="BQ109" s="313"/>
      <c r="BR109" s="95"/>
      <c r="BS109" s="95"/>
      <c r="BT109" s="84"/>
      <c r="BU109" s="84"/>
      <c r="BV109" s="84"/>
      <c r="BW109" s="84"/>
      <c r="BX109" s="84"/>
      <c r="BY109" s="84"/>
      <c r="BZ109" s="84"/>
      <c r="CA109" s="84"/>
      <c r="CB109" s="84"/>
      <c r="CC109" s="84"/>
      <c r="CD109" s="84"/>
      <c r="CE109" s="84"/>
      <c r="CF109" s="84"/>
      <c r="CG109" s="84"/>
      <c r="CH109" s="92"/>
      <c r="CJ109" s="135">
        <f>$X$18</f>
        <v>8</v>
      </c>
      <c r="CK109" s="135" t="str">
        <f t="shared" si="9"/>
        <v>Iniciados</v>
      </c>
      <c r="CL109" s="135" t="str">
        <f t="shared" si="10"/>
        <v>Pares</v>
      </c>
      <c r="CM109" s="135" t="str">
        <f t="shared" si="11"/>
        <v>Mistos</v>
      </c>
      <c r="CN109" s="135" t="str">
        <f>$X$5</f>
        <v>Grupo D</v>
      </c>
      <c r="CO109" s="135" t="str">
        <f>$Y$18</f>
        <v>M Maia/A Bacelar (Norte)</v>
      </c>
      <c r="CP109" s="135" t="str">
        <f>$Y$19</f>
        <v/>
      </c>
    </row>
    <row r="110" spans="8:94" ht="18.75" hidden="1" customHeight="1">
      <c r="BA110" s="88"/>
      <c r="BB110" s="73" t="s">
        <v>35</v>
      </c>
      <c r="BC110" s="73"/>
      <c r="BD110" s="73"/>
      <c r="BE110" s="73"/>
      <c r="BF110" s="73"/>
      <c r="BG110" s="73"/>
      <c r="BH110" s="7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84"/>
      <c r="BT110" s="84"/>
      <c r="BU110" s="84"/>
      <c r="BV110" s="84"/>
      <c r="BW110" s="84"/>
      <c r="BX110" s="84"/>
      <c r="BY110" s="84"/>
      <c r="BZ110" s="84"/>
      <c r="CA110" s="84"/>
      <c r="CB110" s="84"/>
      <c r="CC110" s="84"/>
      <c r="CD110" s="84"/>
      <c r="CE110" s="84"/>
      <c r="CF110" s="84"/>
      <c r="CG110" s="84"/>
      <c r="CH110" s="92"/>
      <c r="CJ110" s="135">
        <f>$C$20</f>
        <v>9</v>
      </c>
      <c r="CK110" s="135" t="str">
        <f t="shared" si="9"/>
        <v>Iniciados</v>
      </c>
      <c r="CL110" s="135" t="str">
        <f t="shared" si="10"/>
        <v>Pares</v>
      </c>
      <c r="CM110" s="135" t="str">
        <f t="shared" si="11"/>
        <v>Mistos</v>
      </c>
      <c r="CN110" s="135" t="str">
        <f>$C$5</f>
        <v>Grupo A</v>
      </c>
      <c r="CO110" s="135" t="str">
        <f>$D$20</f>
        <v/>
      </c>
      <c r="CP110" s="135" t="str">
        <f>$D$21</f>
        <v>L Pascoal/P Bezerra (Alentejo)</v>
      </c>
    </row>
    <row r="111" spans="8:94" ht="15" hidden="1" customHeight="1">
      <c r="BA111" s="88"/>
      <c r="BB111" s="298" t="str">
        <f>IF($BB$105="","",$BB$105)</f>
        <v>J Eduardo/G Gomes (Lisboa)</v>
      </c>
      <c r="BC111" s="299"/>
      <c r="BD111" s="74"/>
      <c r="BE111" s="75"/>
      <c r="BF111" s="75"/>
      <c r="BG111" s="75"/>
      <c r="BH111" s="75"/>
      <c r="BI111" s="75"/>
      <c r="BJ111" s="75"/>
      <c r="BK111" s="75"/>
      <c r="BL111" s="75"/>
      <c r="BM111" s="76"/>
      <c r="BN111" s="254"/>
      <c r="BO111" s="256"/>
      <c r="BP111" s="77"/>
      <c r="BQ111" s="77"/>
      <c r="BR111" s="77"/>
      <c r="BS111" s="78"/>
      <c r="BT111" s="75"/>
      <c r="BU111" s="75"/>
      <c r="BV111" s="75"/>
      <c r="BW111" s="75"/>
      <c r="BX111" s="254"/>
      <c r="BY111" s="76"/>
      <c r="BZ111" s="75"/>
      <c r="CA111" s="75"/>
      <c r="CB111" s="75"/>
      <c r="CC111" s="75"/>
      <c r="CD111" s="75"/>
      <c r="CE111" s="75"/>
      <c r="CF111" s="75"/>
      <c r="CG111" s="75"/>
      <c r="CH111" s="92"/>
      <c r="CJ111" s="135">
        <f>$C$22</f>
        <v>10</v>
      </c>
      <c r="CK111" s="135" t="str">
        <f t="shared" si="9"/>
        <v>Iniciados</v>
      </c>
      <c r="CL111" s="135" t="str">
        <f t="shared" si="10"/>
        <v>Pares</v>
      </c>
      <c r="CM111" s="135" t="str">
        <f t="shared" si="11"/>
        <v>Mistos</v>
      </c>
      <c r="CN111" s="135" t="str">
        <f>$C$5</f>
        <v>Grupo A</v>
      </c>
      <c r="CO111" s="135" t="str">
        <f>$D$22</f>
        <v>J Eduardo/G Gomes (Lisboa)</v>
      </c>
      <c r="CP111" s="135" t="str">
        <f>$D$23</f>
        <v>F Monteiro/B Campos (Norte)</v>
      </c>
    </row>
    <row r="112" spans="8:94" ht="15" hidden="1" customHeight="1">
      <c r="BA112" s="88"/>
      <c r="BB112" s="300"/>
      <c r="BC112" s="301"/>
      <c r="BD112" s="79"/>
      <c r="BE112" s="80"/>
      <c r="BF112" s="80"/>
      <c r="BG112" s="80"/>
      <c r="BH112" s="80"/>
      <c r="BI112" s="80"/>
      <c r="BJ112" s="80"/>
      <c r="BK112" s="80"/>
      <c r="BL112" s="80"/>
      <c r="BM112" s="81"/>
      <c r="BN112" s="255"/>
      <c r="BO112" s="257"/>
      <c r="BP112" s="82"/>
      <c r="BQ112" s="82"/>
      <c r="BR112" s="82"/>
      <c r="BS112" s="83"/>
      <c r="BT112" s="80"/>
      <c r="BU112" s="80"/>
      <c r="BV112" s="80"/>
      <c r="BW112" s="80"/>
      <c r="BX112" s="255"/>
      <c r="BY112" s="81"/>
      <c r="BZ112" s="80"/>
      <c r="CA112" s="80"/>
      <c r="CB112" s="80"/>
      <c r="CC112" s="80"/>
      <c r="CD112" s="80"/>
      <c r="CE112" s="80"/>
      <c r="CF112" s="80"/>
      <c r="CG112" s="80"/>
      <c r="CH112" s="98" t="s">
        <v>1</v>
      </c>
      <c r="CJ112" s="135">
        <f>$J$20</f>
        <v>11</v>
      </c>
      <c r="CK112" s="135" t="str">
        <f t="shared" si="9"/>
        <v>Iniciados</v>
      </c>
      <c r="CL112" s="135" t="str">
        <f t="shared" si="10"/>
        <v>Pares</v>
      </c>
      <c r="CM112" s="135" t="str">
        <f t="shared" si="11"/>
        <v>Mistos</v>
      </c>
      <c r="CN112" s="135" t="str">
        <f>$J$5</f>
        <v>Grupo B</v>
      </c>
      <c r="CO112" s="135" t="str">
        <f>$K$20</f>
        <v/>
      </c>
      <c r="CP112" s="135" t="str">
        <f>$K$21</f>
        <v>A Ferreira/J Lopes (Norte)</v>
      </c>
    </row>
    <row r="113" spans="53:94" ht="15" hidden="1" customHeight="1">
      <c r="BA113" s="88"/>
      <c r="BB113" s="298" t="str">
        <f>IF($BB$107="","",$BB$107)</f>
        <v/>
      </c>
      <c r="BC113" s="299"/>
      <c r="BD113" s="74"/>
      <c r="BE113" s="75"/>
      <c r="BF113" s="75"/>
      <c r="BG113" s="75"/>
      <c r="BH113" s="75"/>
      <c r="BI113" s="75"/>
      <c r="BJ113" s="75"/>
      <c r="BK113" s="75"/>
      <c r="BL113" s="75"/>
      <c r="BM113" s="76"/>
      <c r="BN113" s="254"/>
      <c r="BO113" s="256"/>
      <c r="BP113" s="77"/>
      <c r="BQ113" s="77"/>
      <c r="BR113" s="77"/>
      <c r="BS113" s="78"/>
      <c r="BT113" s="75"/>
      <c r="BU113" s="75"/>
      <c r="BV113" s="75"/>
      <c r="BW113" s="75"/>
      <c r="BX113" s="254"/>
      <c r="BY113" s="76"/>
      <c r="BZ113" s="75"/>
      <c r="CA113" s="75"/>
      <c r="CB113" s="75"/>
      <c r="CC113" s="75"/>
      <c r="CD113" s="75"/>
      <c r="CE113" s="75"/>
      <c r="CF113" s="75"/>
      <c r="CG113" s="75"/>
      <c r="CH113" s="99"/>
      <c r="CJ113" s="135">
        <f>$J$22</f>
        <v>12</v>
      </c>
      <c r="CK113" s="135" t="str">
        <f t="shared" si="9"/>
        <v>Iniciados</v>
      </c>
      <c r="CL113" s="135" t="str">
        <f t="shared" si="10"/>
        <v>Pares</v>
      </c>
      <c r="CM113" s="135" t="str">
        <f t="shared" si="11"/>
        <v>Mistos</v>
      </c>
      <c r="CN113" s="135" t="str">
        <f>$J$5</f>
        <v>Grupo B</v>
      </c>
      <c r="CO113" s="135" t="str">
        <f>$K$22</f>
        <v>M Vieira/L Nunes (Centro)</v>
      </c>
      <c r="CP113" s="135" t="str">
        <f>$K$23</f>
        <v>I Medeiros/G Roberto (Lisboa)</v>
      </c>
    </row>
    <row r="114" spans="53:94" ht="15" hidden="1" customHeight="1">
      <c r="BA114" s="88"/>
      <c r="BB114" s="300"/>
      <c r="BC114" s="301"/>
      <c r="BD114" s="79"/>
      <c r="BE114" s="80"/>
      <c r="BF114" s="80"/>
      <c r="BG114" s="80"/>
      <c r="BH114" s="80"/>
      <c r="BI114" s="80"/>
      <c r="BJ114" s="80"/>
      <c r="BK114" s="80"/>
      <c r="BL114" s="80"/>
      <c r="BM114" s="81"/>
      <c r="BN114" s="255"/>
      <c r="BO114" s="257"/>
      <c r="BP114" s="82"/>
      <c r="BQ114" s="82"/>
      <c r="BR114" s="82"/>
      <c r="BS114" s="83"/>
      <c r="BT114" s="80"/>
      <c r="BU114" s="80"/>
      <c r="BV114" s="80"/>
      <c r="BW114" s="80"/>
      <c r="BX114" s="255"/>
      <c r="BY114" s="81"/>
      <c r="BZ114" s="80"/>
      <c r="CA114" s="80"/>
      <c r="CB114" s="80"/>
      <c r="CC114" s="80"/>
      <c r="CD114" s="80"/>
      <c r="CE114" s="80"/>
      <c r="CF114" s="80"/>
      <c r="CG114" s="80"/>
      <c r="CH114" s="92"/>
      <c r="CJ114" s="135">
        <f>$Q$20</f>
        <v>13</v>
      </c>
      <c r="CK114" s="135" t="str">
        <f t="shared" si="9"/>
        <v>Iniciados</v>
      </c>
      <c r="CL114" s="135" t="str">
        <f t="shared" si="10"/>
        <v>Pares</v>
      </c>
      <c r="CM114" s="135" t="str">
        <f t="shared" si="11"/>
        <v>Mistos</v>
      </c>
      <c r="CN114" s="135" t="str">
        <f>$Q$5</f>
        <v>Grupo C</v>
      </c>
      <c r="CO114" s="135" t="str">
        <f>$R$20</f>
        <v/>
      </c>
      <c r="CP114" s="135" t="str">
        <f>$R$21</f>
        <v>M Henriques/F Seita (Lisboa)</v>
      </c>
    </row>
    <row r="115" spans="53:94" ht="12.75" hidden="1" customHeight="1">
      <c r="BA115" s="88"/>
      <c r="BB115" s="84"/>
      <c r="BC115" s="84"/>
      <c r="BD115" s="100">
        <v>1</v>
      </c>
      <c r="BE115" s="100">
        <v>2</v>
      </c>
      <c r="BF115" s="100">
        <v>3</v>
      </c>
      <c r="BG115" s="100">
        <v>4</v>
      </c>
      <c r="BH115" s="100">
        <v>5</v>
      </c>
      <c r="BI115" s="100">
        <v>6</v>
      </c>
      <c r="BJ115" s="100">
        <v>7</v>
      </c>
      <c r="BK115" s="100">
        <v>8</v>
      </c>
      <c r="BL115" s="100">
        <v>9</v>
      </c>
      <c r="BM115" s="100">
        <v>10</v>
      </c>
      <c r="BN115" s="100">
        <v>11</v>
      </c>
      <c r="BO115" s="100">
        <v>12</v>
      </c>
      <c r="BP115" s="100">
        <v>13</v>
      </c>
      <c r="BQ115" s="100">
        <v>14</v>
      </c>
      <c r="BR115" s="100">
        <v>15</v>
      </c>
      <c r="BS115" s="100">
        <v>16</v>
      </c>
      <c r="BT115" s="100">
        <v>17</v>
      </c>
      <c r="BU115" s="100">
        <v>18</v>
      </c>
      <c r="BV115" s="100">
        <v>19</v>
      </c>
      <c r="BW115" s="100">
        <v>20</v>
      </c>
      <c r="BX115" s="100">
        <v>21</v>
      </c>
      <c r="BY115" s="100">
        <v>22</v>
      </c>
      <c r="BZ115" s="100">
        <v>23</v>
      </c>
      <c r="CA115" s="100">
        <v>24</v>
      </c>
      <c r="CB115" s="100">
        <v>25</v>
      </c>
      <c r="CC115" s="100">
        <v>26</v>
      </c>
      <c r="CD115" s="100">
        <v>27</v>
      </c>
      <c r="CE115" s="100">
        <v>28</v>
      </c>
      <c r="CF115" s="100">
        <v>29</v>
      </c>
      <c r="CG115" s="100">
        <v>30</v>
      </c>
      <c r="CH115" s="101"/>
      <c r="CJ115" s="135">
        <f>$Q$22</f>
        <v>14</v>
      </c>
      <c r="CK115" s="135" t="str">
        <f t="shared" si="9"/>
        <v>Iniciados</v>
      </c>
      <c r="CL115" s="135" t="str">
        <f t="shared" si="10"/>
        <v>Pares</v>
      </c>
      <c r="CM115" s="135" t="str">
        <f t="shared" si="11"/>
        <v>Mistos</v>
      </c>
      <c r="CN115" s="135" t="str">
        <f>$Q$5</f>
        <v>Grupo C</v>
      </c>
      <c r="CO115" s="135" t="str">
        <f>$R$22</f>
        <v>M Eiras/S Veiga (Norte)</v>
      </c>
      <c r="CP115" s="135" t="str">
        <f>$R$23</f>
        <v>N Silva/F Silva (Algarve)</v>
      </c>
    </row>
    <row r="116" spans="53:94" ht="15" hidden="1" customHeight="1">
      <c r="BA116" s="88"/>
      <c r="BB116" s="298" t="str">
        <f>IF($BB$105="","",$BB$105)</f>
        <v>J Eduardo/G Gomes (Lisboa)</v>
      </c>
      <c r="BC116" s="299"/>
      <c r="BD116" s="74"/>
      <c r="BE116" s="75"/>
      <c r="BF116" s="75"/>
      <c r="BG116" s="75"/>
      <c r="BH116" s="75"/>
      <c r="BI116" s="75"/>
      <c r="BJ116" s="75"/>
      <c r="BK116" s="75"/>
      <c r="BL116" s="75"/>
      <c r="BM116" s="76"/>
      <c r="BN116" s="254"/>
      <c r="BO116" s="256"/>
      <c r="BP116" s="77"/>
      <c r="BQ116" s="77"/>
      <c r="BR116" s="77"/>
      <c r="BS116" s="78"/>
      <c r="BT116" s="75"/>
      <c r="BU116" s="75"/>
      <c r="BV116" s="75"/>
      <c r="BW116" s="75"/>
      <c r="BX116" s="254"/>
      <c r="BY116" s="76"/>
      <c r="BZ116" s="75"/>
      <c r="CA116" s="75"/>
      <c r="CB116" s="75"/>
      <c r="CC116" s="75"/>
      <c r="CD116" s="75"/>
      <c r="CE116" s="75"/>
      <c r="CF116" s="75"/>
      <c r="CG116" s="75"/>
      <c r="CH116" s="92"/>
      <c r="CJ116" s="135">
        <f>$X$20</f>
        <v>15</v>
      </c>
      <c r="CK116" s="135" t="str">
        <f t="shared" si="9"/>
        <v>Iniciados</v>
      </c>
      <c r="CL116" s="135" t="str">
        <f t="shared" si="10"/>
        <v>Pares</v>
      </c>
      <c r="CM116" s="135" t="str">
        <f t="shared" si="11"/>
        <v>Mistos</v>
      </c>
      <c r="CN116" s="135" t="str">
        <f>$X$5</f>
        <v>Grupo D</v>
      </c>
      <c r="CO116" s="135" t="str">
        <f>$Y$20</f>
        <v/>
      </c>
      <c r="CP116" s="135" t="str">
        <f>$Y$21</f>
        <v/>
      </c>
    </row>
    <row r="117" spans="53:94" ht="15" hidden="1" customHeight="1">
      <c r="BA117" s="88"/>
      <c r="BB117" s="300"/>
      <c r="BC117" s="301"/>
      <c r="BD117" s="79"/>
      <c r="BE117" s="80"/>
      <c r="BF117" s="80"/>
      <c r="BG117" s="80"/>
      <c r="BH117" s="80"/>
      <c r="BI117" s="80"/>
      <c r="BJ117" s="80"/>
      <c r="BK117" s="80"/>
      <c r="BL117" s="80"/>
      <c r="BM117" s="81"/>
      <c r="BN117" s="255"/>
      <c r="BO117" s="257"/>
      <c r="BP117" s="82"/>
      <c r="BQ117" s="82"/>
      <c r="BR117" s="82"/>
      <c r="BS117" s="83"/>
      <c r="BT117" s="80"/>
      <c r="BU117" s="80"/>
      <c r="BV117" s="80"/>
      <c r="BW117" s="80"/>
      <c r="BX117" s="255"/>
      <c r="BY117" s="81"/>
      <c r="BZ117" s="80"/>
      <c r="CA117" s="80"/>
      <c r="CB117" s="80"/>
      <c r="CC117" s="80"/>
      <c r="CD117" s="80"/>
      <c r="CE117" s="80"/>
      <c r="CF117" s="80"/>
      <c r="CG117" s="80"/>
      <c r="CH117" s="92"/>
      <c r="CJ117" s="135">
        <f>$X$22</f>
        <v>16</v>
      </c>
      <c r="CK117" s="135" t="str">
        <f t="shared" si="9"/>
        <v>Iniciados</v>
      </c>
      <c r="CL117" s="135" t="str">
        <f t="shared" si="10"/>
        <v>Pares</v>
      </c>
      <c r="CM117" s="135" t="str">
        <f t="shared" si="11"/>
        <v>Mistos</v>
      </c>
      <c r="CN117" s="135" t="str">
        <f>$X$5</f>
        <v>Grupo D</v>
      </c>
      <c r="CO117" s="135" t="str">
        <f>$Y$22</f>
        <v>L Pala/F Silva (Centro)</v>
      </c>
      <c r="CP117" s="135" t="str">
        <f>$Y$23</f>
        <v>M Maia/A Bacelar (Norte)</v>
      </c>
    </row>
    <row r="118" spans="53:94" ht="15" hidden="1" customHeight="1">
      <c r="BA118" s="88"/>
      <c r="BB118" s="298" t="str">
        <f>IF($BB$107="","",$BB$107)</f>
        <v/>
      </c>
      <c r="BC118" s="299"/>
      <c r="BD118" s="74"/>
      <c r="BE118" s="75"/>
      <c r="BF118" s="75"/>
      <c r="BG118" s="75"/>
      <c r="BH118" s="75"/>
      <c r="BI118" s="75"/>
      <c r="BJ118" s="75"/>
      <c r="BK118" s="75"/>
      <c r="BL118" s="75"/>
      <c r="BM118" s="76"/>
      <c r="BN118" s="254"/>
      <c r="BO118" s="256"/>
      <c r="BP118" s="77"/>
      <c r="BQ118" s="77"/>
      <c r="BR118" s="77"/>
      <c r="BS118" s="78"/>
      <c r="BT118" s="75"/>
      <c r="BU118" s="75"/>
      <c r="BV118" s="75"/>
      <c r="BW118" s="75"/>
      <c r="BX118" s="254"/>
      <c r="BY118" s="76"/>
      <c r="BZ118" s="75"/>
      <c r="CA118" s="75"/>
      <c r="CB118" s="75"/>
      <c r="CC118" s="75"/>
      <c r="CD118" s="75"/>
      <c r="CE118" s="75"/>
      <c r="CF118" s="75"/>
      <c r="CG118" s="75"/>
      <c r="CH118" s="98" t="s">
        <v>2</v>
      </c>
      <c r="CJ118" s="135">
        <f>$C$24</f>
        <v>17</v>
      </c>
      <c r="CK118" s="135" t="str">
        <f t="shared" si="9"/>
        <v>Iniciados</v>
      </c>
      <c r="CL118" s="135" t="str">
        <f t="shared" si="10"/>
        <v>Pares</v>
      </c>
      <c r="CM118" s="135" t="str">
        <f t="shared" si="11"/>
        <v>Mistos</v>
      </c>
      <c r="CN118" s="135" t="str">
        <f>$C$5</f>
        <v>Grupo A</v>
      </c>
      <c r="CO118" s="135" t="str">
        <f>$D$24</f>
        <v>F Monteiro/B Campos (Norte)</v>
      </c>
      <c r="CP118" s="135" t="str">
        <f>$D$25</f>
        <v/>
      </c>
    </row>
    <row r="119" spans="53:94" ht="15" hidden="1" customHeight="1">
      <c r="BA119" s="88"/>
      <c r="BB119" s="300"/>
      <c r="BC119" s="301"/>
      <c r="BD119" s="79"/>
      <c r="BE119" s="80"/>
      <c r="BF119" s="80"/>
      <c r="BG119" s="80"/>
      <c r="BH119" s="80"/>
      <c r="BI119" s="80"/>
      <c r="BJ119" s="80"/>
      <c r="BK119" s="80"/>
      <c r="BL119" s="80"/>
      <c r="BM119" s="81"/>
      <c r="BN119" s="255"/>
      <c r="BO119" s="257"/>
      <c r="BP119" s="82"/>
      <c r="BQ119" s="82"/>
      <c r="BR119" s="82"/>
      <c r="BS119" s="83"/>
      <c r="BT119" s="80"/>
      <c r="BU119" s="80"/>
      <c r="BV119" s="80"/>
      <c r="BW119" s="80"/>
      <c r="BX119" s="255"/>
      <c r="BY119" s="81"/>
      <c r="BZ119" s="80"/>
      <c r="CA119" s="80"/>
      <c r="CB119" s="80"/>
      <c r="CC119" s="80"/>
      <c r="CD119" s="80"/>
      <c r="CE119" s="80"/>
      <c r="CF119" s="80"/>
      <c r="CG119" s="80"/>
      <c r="CH119" s="92"/>
      <c r="CJ119" s="135">
        <f>$C$26</f>
        <v>18</v>
      </c>
      <c r="CK119" s="135" t="str">
        <f t="shared" si="9"/>
        <v>Iniciados</v>
      </c>
      <c r="CL119" s="135" t="str">
        <f t="shared" si="10"/>
        <v>Pares</v>
      </c>
      <c r="CM119" s="135" t="str">
        <f t="shared" si="11"/>
        <v>Mistos</v>
      </c>
      <c r="CN119" s="135" t="str">
        <f>$C$5</f>
        <v>Grupo A</v>
      </c>
      <c r="CO119" s="135" t="str">
        <f>$D$26</f>
        <v>L Pascoal/P Bezerra (Alentejo)</v>
      </c>
      <c r="CP119" s="135" t="str">
        <f>$D$27</f>
        <v>J Eduardo/G Gomes (Lisboa)</v>
      </c>
    </row>
    <row r="120" spans="53:94" ht="12.75" hidden="1" customHeight="1">
      <c r="BA120" s="88"/>
      <c r="BB120" s="84"/>
      <c r="BC120" s="84"/>
      <c r="BD120" s="100">
        <v>1</v>
      </c>
      <c r="BE120" s="100">
        <v>2</v>
      </c>
      <c r="BF120" s="100">
        <v>3</v>
      </c>
      <c r="BG120" s="100">
        <v>4</v>
      </c>
      <c r="BH120" s="100">
        <v>5</v>
      </c>
      <c r="BI120" s="100">
        <v>6</v>
      </c>
      <c r="BJ120" s="100">
        <v>7</v>
      </c>
      <c r="BK120" s="100">
        <v>8</v>
      </c>
      <c r="BL120" s="100">
        <v>9</v>
      </c>
      <c r="BM120" s="100">
        <v>10</v>
      </c>
      <c r="BN120" s="100">
        <v>11</v>
      </c>
      <c r="BO120" s="100">
        <v>12</v>
      </c>
      <c r="BP120" s="100">
        <v>13</v>
      </c>
      <c r="BQ120" s="100">
        <v>14</v>
      </c>
      <c r="BR120" s="100">
        <v>15</v>
      </c>
      <c r="BS120" s="100">
        <v>16</v>
      </c>
      <c r="BT120" s="100">
        <v>17</v>
      </c>
      <c r="BU120" s="100">
        <v>18</v>
      </c>
      <c r="BV120" s="100">
        <v>19</v>
      </c>
      <c r="BW120" s="100">
        <v>20</v>
      </c>
      <c r="BX120" s="100">
        <v>21</v>
      </c>
      <c r="BY120" s="100">
        <v>22</v>
      </c>
      <c r="BZ120" s="100">
        <v>23</v>
      </c>
      <c r="CA120" s="100">
        <v>24</v>
      </c>
      <c r="CB120" s="100">
        <v>25</v>
      </c>
      <c r="CC120" s="100">
        <v>26</v>
      </c>
      <c r="CD120" s="100">
        <v>27</v>
      </c>
      <c r="CE120" s="100">
        <v>28</v>
      </c>
      <c r="CF120" s="100">
        <v>29</v>
      </c>
      <c r="CG120" s="100">
        <v>30</v>
      </c>
      <c r="CH120" s="101"/>
      <c r="CJ120" s="135">
        <f>$J$24</f>
        <v>19</v>
      </c>
      <c r="CK120" s="135" t="str">
        <f t="shared" si="9"/>
        <v>Iniciados</v>
      </c>
      <c r="CL120" s="135" t="str">
        <f t="shared" si="10"/>
        <v>Pares</v>
      </c>
      <c r="CM120" s="135" t="str">
        <f t="shared" si="11"/>
        <v>Mistos</v>
      </c>
      <c r="CN120" s="135" t="str">
        <f>$J$5</f>
        <v>Grupo B</v>
      </c>
      <c r="CO120" s="135" t="str">
        <f>$K$24</f>
        <v>I Medeiros/G Roberto (Lisboa)</v>
      </c>
      <c r="CP120" s="135" t="str">
        <f>$K$25</f>
        <v/>
      </c>
    </row>
    <row r="121" spans="53:94" ht="15" hidden="1" customHeight="1">
      <c r="BA121" s="88"/>
      <c r="BB121" s="298" t="str">
        <f>IF($BB$105="","",$BB$105)</f>
        <v>J Eduardo/G Gomes (Lisboa)</v>
      </c>
      <c r="BC121" s="299"/>
      <c r="BD121" s="74"/>
      <c r="BE121" s="75"/>
      <c r="BF121" s="75"/>
      <c r="BG121" s="75"/>
      <c r="BH121" s="75"/>
      <c r="BI121" s="75"/>
      <c r="BJ121" s="75"/>
      <c r="BK121" s="75"/>
      <c r="BL121" s="75"/>
      <c r="BM121" s="76"/>
      <c r="BN121" s="254"/>
      <c r="BO121" s="256"/>
      <c r="BP121" s="77"/>
      <c r="BQ121" s="77"/>
      <c r="BR121" s="77"/>
      <c r="BS121" s="78"/>
      <c r="BT121" s="75"/>
      <c r="BU121" s="75"/>
      <c r="BV121" s="75"/>
      <c r="BW121" s="75"/>
      <c r="BX121" s="254"/>
      <c r="BY121" s="76"/>
      <c r="BZ121" s="75"/>
      <c r="CA121" s="75"/>
      <c r="CB121" s="75"/>
      <c r="CC121" s="75"/>
      <c r="CD121" s="75"/>
      <c r="CE121" s="75"/>
      <c r="CF121" s="75"/>
      <c r="CG121" s="75"/>
      <c r="CH121" s="92"/>
      <c r="CJ121" s="135">
        <f>$J$26</f>
        <v>20</v>
      </c>
      <c r="CK121" s="135" t="str">
        <f t="shared" si="9"/>
        <v>Iniciados</v>
      </c>
      <c r="CL121" s="135" t="str">
        <f t="shared" si="10"/>
        <v>Pares</v>
      </c>
      <c r="CM121" s="135" t="str">
        <f t="shared" si="11"/>
        <v>Mistos</v>
      </c>
      <c r="CN121" s="135" t="str">
        <f>$J$5</f>
        <v>Grupo B</v>
      </c>
      <c r="CO121" s="135" t="str">
        <f>$K$26</f>
        <v>A Ferreira/J Lopes (Norte)</v>
      </c>
      <c r="CP121" s="135" t="str">
        <f>$K$27</f>
        <v>M Vieira/L Nunes (Centro)</v>
      </c>
    </row>
    <row r="122" spans="53:94" ht="15" hidden="1" customHeight="1">
      <c r="BA122" s="88"/>
      <c r="BB122" s="300"/>
      <c r="BC122" s="301"/>
      <c r="BD122" s="79"/>
      <c r="BE122" s="80"/>
      <c r="BF122" s="80"/>
      <c r="BG122" s="80"/>
      <c r="BH122" s="80"/>
      <c r="BI122" s="80"/>
      <c r="BJ122" s="80"/>
      <c r="BK122" s="80"/>
      <c r="BL122" s="80"/>
      <c r="BM122" s="81"/>
      <c r="BN122" s="255"/>
      <c r="BO122" s="257"/>
      <c r="BP122" s="82"/>
      <c r="BQ122" s="82"/>
      <c r="BR122" s="82"/>
      <c r="BS122" s="83"/>
      <c r="BT122" s="80"/>
      <c r="BU122" s="80"/>
      <c r="BV122" s="80"/>
      <c r="BW122" s="80"/>
      <c r="BX122" s="255"/>
      <c r="BY122" s="81"/>
      <c r="BZ122" s="80"/>
      <c r="CA122" s="80"/>
      <c r="CB122" s="80"/>
      <c r="CC122" s="80"/>
      <c r="CD122" s="80"/>
      <c r="CE122" s="80"/>
      <c r="CF122" s="80"/>
      <c r="CG122" s="80"/>
      <c r="CH122" s="92"/>
      <c r="CJ122" s="135">
        <f>$Q$24</f>
        <v>21</v>
      </c>
      <c r="CK122" s="135" t="str">
        <f t="shared" si="9"/>
        <v>Iniciados</v>
      </c>
      <c r="CL122" s="135" t="str">
        <f t="shared" si="10"/>
        <v>Pares</v>
      </c>
      <c r="CM122" s="135" t="str">
        <f t="shared" si="11"/>
        <v>Mistos</v>
      </c>
      <c r="CN122" s="135" t="str">
        <f>$Q$5</f>
        <v>Grupo C</v>
      </c>
      <c r="CO122" s="135" t="str">
        <f>$R$24</f>
        <v>N Silva/F Silva (Algarve)</v>
      </c>
      <c r="CP122" s="135" t="str">
        <f>$R$25</f>
        <v/>
      </c>
    </row>
    <row r="123" spans="53:94" ht="15" hidden="1" customHeight="1">
      <c r="BA123" s="88"/>
      <c r="BB123" s="298" t="str">
        <f>IF($BB$107="","",$BB$107)</f>
        <v/>
      </c>
      <c r="BC123" s="299"/>
      <c r="BD123" s="74"/>
      <c r="BE123" s="75"/>
      <c r="BF123" s="75"/>
      <c r="BG123" s="75"/>
      <c r="BH123" s="75"/>
      <c r="BI123" s="75"/>
      <c r="BJ123" s="75"/>
      <c r="BK123" s="75"/>
      <c r="BL123" s="75"/>
      <c r="BM123" s="76"/>
      <c r="BN123" s="254"/>
      <c r="BO123" s="256"/>
      <c r="BP123" s="77"/>
      <c r="BQ123" s="77"/>
      <c r="BR123" s="77"/>
      <c r="BS123" s="78"/>
      <c r="BT123" s="75"/>
      <c r="BU123" s="75"/>
      <c r="BV123" s="75"/>
      <c r="BW123" s="75"/>
      <c r="BX123" s="254"/>
      <c r="BY123" s="76"/>
      <c r="BZ123" s="75"/>
      <c r="CA123" s="75"/>
      <c r="CB123" s="75"/>
      <c r="CC123" s="75"/>
      <c r="CD123" s="75"/>
      <c r="CE123" s="75"/>
      <c r="CF123" s="75"/>
      <c r="CG123" s="75"/>
      <c r="CH123" s="98" t="s">
        <v>3</v>
      </c>
      <c r="CJ123" s="135">
        <f>$Q$26</f>
        <v>22</v>
      </c>
      <c r="CK123" s="135" t="str">
        <f t="shared" si="9"/>
        <v>Iniciados</v>
      </c>
      <c r="CL123" s="135" t="str">
        <f t="shared" si="10"/>
        <v>Pares</v>
      </c>
      <c r="CM123" s="135" t="str">
        <f t="shared" si="11"/>
        <v>Mistos</v>
      </c>
      <c r="CN123" s="135" t="str">
        <f>$Q$5</f>
        <v>Grupo C</v>
      </c>
      <c r="CO123" s="135" t="str">
        <f>$R$26</f>
        <v>M Henriques/F Seita (Lisboa)</v>
      </c>
      <c r="CP123" s="135" t="str">
        <f>$R$27</f>
        <v>M Eiras/S Veiga (Norte)</v>
      </c>
    </row>
    <row r="124" spans="53:94" ht="15" hidden="1" customHeight="1">
      <c r="BA124" s="88"/>
      <c r="BB124" s="300"/>
      <c r="BC124" s="301"/>
      <c r="BD124" s="79"/>
      <c r="BE124" s="80"/>
      <c r="BF124" s="80"/>
      <c r="BG124" s="80"/>
      <c r="BH124" s="80"/>
      <c r="BI124" s="80"/>
      <c r="BJ124" s="80"/>
      <c r="BK124" s="80"/>
      <c r="BL124" s="80"/>
      <c r="BM124" s="81"/>
      <c r="BN124" s="255"/>
      <c r="BO124" s="257"/>
      <c r="BP124" s="82"/>
      <c r="BQ124" s="82"/>
      <c r="BR124" s="82"/>
      <c r="BS124" s="83"/>
      <c r="BT124" s="80"/>
      <c r="BU124" s="80"/>
      <c r="BV124" s="80"/>
      <c r="BW124" s="80"/>
      <c r="BX124" s="255"/>
      <c r="BY124" s="81"/>
      <c r="BZ124" s="80"/>
      <c r="CA124" s="80"/>
      <c r="CB124" s="80"/>
      <c r="CC124" s="80"/>
      <c r="CD124" s="80"/>
      <c r="CE124" s="80"/>
      <c r="CF124" s="80"/>
      <c r="CG124" s="80"/>
      <c r="CH124" s="92"/>
      <c r="CJ124" s="135">
        <f>$X$24</f>
        <v>23</v>
      </c>
      <c r="CK124" s="135" t="str">
        <f t="shared" si="9"/>
        <v>Iniciados</v>
      </c>
      <c r="CL124" s="135" t="str">
        <f t="shared" si="10"/>
        <v>Pares</v>
      </c>
      <c r="CM124" s="135" t="str">
        <f t="shared" si="11"/>
        <v>Mistos</v>
      </c>
      <c r="CN124" s="135" t="str">
        <f>$X$5</f>
        <v>Grupo D</v>
      </c>
      <c r="CO124" s="135" t="str">
        <f>$Y$24</f>
        <v>M Maia/A Bacelar (Norte)</v>
      </c>
      <c r="CP124" s="135" t="str">
        <f>$Y$25</f>
        <v/>
      </c>
    </row>
    <row r="125" spans="53:94" ht="65.25" hidden="1" customHeight="1">
      <c r="BA125" s="102"/>
      <c r="BB125" s="103" t="s">
        <v>36</v>
      </c>
      <c r="BC125" s="104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85"/>
      <c r="BT125" s="85"/>
      <c r="BU125" s="85"/>
      <c r="BV125" s="85"/>
      <c r="BW125" s="85"/>
      <c r="BX125" s="85"/>
      <c r="BY125" s="85"/>
      <c r="BZ125" s="85"/>
      <c r="CA125" s="85"/>
      <c r="CB125" s="85"/>
      <c r="CC125" s="85"/>
      <c r="CD125" s="85"/>
      <c r="CE125" s="85"/>
      <c r="CF125" s="85"/>
      <c r="CG125" s="85"/>
      <c r="CH125" s="81"/>
      <c r="CJ125" s="135">
        <f>$X$26</f>
        <v>24</v>
      </c>
      <c r="CK125" s="135" t="str">
        <f t="shared" si="9"/>
        <v>Iniciados</v>
      </c>
      <c r="CL125" s="135" t="str">
        <f t="shared" si="10"/>
        <v>Pares</v>
      </c>
      <c r="CM125" s="135" t="str">
        <f t="shared" si="11"/>
        <v>Mistos</v>
      </c>
      <c r="CN125" s="135" t="str">
        <f>$X$5</f>
        <v>Grupo D</v>
      </c>
      <c r="CO125" s="135" t="str">
        <f>$Y$26</f>
        <v/>
      </c>
      <c r="CP125" s="135" t="str">
        <f>$Y$27</f>
        <v>L Pala/F Silva (Centro)</v>
      </c>
    </row>
    <row r="126" spans="53:94" ht="136.5" hidden="1" customHeight="1">
      <c r="BA126" s="314" t="s">
        <v>64</v>
      </c>
      <c r="BB126" s="314"/>
      <c r="BC126" s="314"/>
      <c r="BD126" s="314"/>
      <c r="BE126" s="314"/>
      <c r="BF126" s="314"/>
      <c r="BG126" s="314"/>
      <c r="BH126" s="314"/>
      <c r="BI126" s="314"/>
      <c r="BJ126" s="314"/>
      <c r="BK126" s="314"/>
      <c r="BL126" s="314"/>
      <c r="BM126" s="314"/>
      <c r="BN126" s="314"/>
      <c r="BO126" s="314"/>
      <c r="BP126" s="314"/>
      <c r="BQ126" s="314"/>
      <c r="BR126" s="314"/>
      <c r="BS126" s="314"/>
      <c r="BT126" s="314"/>
      <c r="BU126" s="314"/>
      <c r="BV126" s="314"/>
      <c r="BW126" s="314"/>
      <c r="BX126" s="314"/>
      <c r="BY126" s="314"/>
      <c r="BZ126" s="314"/>
      <c r="CA126" s="314"/>
      <c r="CB126" s="314"/>
      <c r="CC126" s="314"/>
      <c r="CD126" s="314"/>
      <c r="CE126" s="314"/>
      <c r="CF126" s="314"/>
      <c r="CG126" s="314"/>
      <c r="CH126" s="314"/>
      <c r="CJ126" s="135">
        <f>$H$31</f>
        <v>25</v>
      </c>
      <c r="CK126" s="135" t="str">
        <f t="shared" si="9"/>
        <v>Iniciados</v>
      </c>
      <c r="CL126" s="135" t="str">
        <f t="shared" si="10"/>
        <v>Pares</v>
      </c>
      <c r="CM126" s="135" t="str">
        <f t="shared" si="11"/>
        <v>Mistos</v>
      </c>
      <c r="CN126" s="135" t="str">
        <f>"1º Jogo dos 1/4 final"</f>
        <v>1º Jogo dos 1/4 final</v>
      </c>
      <c r="CO126" s="135" t="str">
        <f>$C$30</f>
        <v>1º do grupo A</v>
      </c>
      <c r="CP126" s="135" t="str">
        <f>$C$32</f>
        <v>2º do grupo B</v>
      </c>
    </row>
    <row r="127" spans="53:94" ht="64.5" hidden="1" customHeight="1">
      <c r="BA127" s="87"/>
      <c r="BB127" s="315" t="str">
        <f>IF(BC128="","",CONCATENATE(VLOOKUP(BC128,$CJ$102:$CP$145,2,FALSE),"  -  ",VLOOKUP(BC128,$CJ$102:$CP$145,3,FALSE),,"  -  ",VLOOKUP(BC128,$CJ$102:$CP$145,4,FALSE),"  -  ",VLOOKUP(BC128,$CJ$102:$CP$145,5,FALSE)))</f>
        <v>Iniciados  -  Pares  -  Mistos  -  Grupo A</v>
      </c>
      <c r="BC127" s="315"/>
      <c r="BD127" s="315"/>
      <c r="BE127" s="315"/>
      <c r="BF127" s="315"/>
      <c r="BG127" s="315"/>
      <c r="BH127" s="315"/>
      <c r="BI127" s="315"/>
      <c r="BJ127" s="315"/>
      <c r="BK127" s="315"/>
      <c r="BL127" s="315"/>
      <c r="BM127" s="315"/>
      <c r="BN127" s="315"/>
      <c r="BO127" s="86"/>
      <c r="BP127" s="86"/>
      <c r="BQ127" s="86"/>
      <c r="BR127" s="86"/>
      <c r="BS127" s="86"/>
      <c r="BT127" s="86"/>
      <c r="BU127" s="86"/>
      <c r="BV127" s="86"/>
      <c r="BW127" s="86"/>
      <c r="BX127" s="86"/>
      <c r="BY127" s="86"/>
      <c r="BZ127" s="86"/>
      <c r="CA127" s="86"/>
      <c r="CB127" s="86"/>
      <c r="CC127" s="86"/>
      <c r="CD127" s="86"/>
      <c r="CE127" s="86"/>
      <c r="CF127" s="86"/>
      <c r="CG127" s="86"/>
      <c r="CH127" s="76"/>
      <c r="CJ127" s="135">
        <f>$H$35</f>
        <v>26</v>
      </c>
      <c r="CK127" s="135" t="str">
        <f t="shared" si="9"/>
        <v>Iniciados</v>
      </c>
      <c r="CL127" s="135" t="str">
        <f t="shared" si="10"/>
        <v>Pares</v>
      </c>
      <c r="CM127" s="135" t="str">
        <f t="shared" si="11"/>
        <v>Mistos</v>
      </c>
      <c r="CN127" s="135" t="str">
        <f>"2º Jogo dos 1/4 final"</f>
        <v>2º Jogo dos 1/4 final</v>
      </c>
      <c r="CO127" s="135" t="str">
        <f>$C$34</f>
        <v>2º do grupo D</v>
      </c>
      <c r="CP127" s="135" t="str">
        <f>$C$36</f>
        <v>1º do grupo C</v>
      </c>
    </row>
    <row r="128" spans="53:94" ht="30" hidden="1" customHeight="1">
      <c r="BA128" s="88"/>
      <c r="BB128" s="89" t="s">
        <v>26</v>
      </c>
      <c r="BC128" s="137">
        <f>IF($AI$27="","",$AI$27)</f>
        <v>2</v>
      </c>
      <c r="BD128" s="84"/>
      <c r="BE128" s="84"/>
      <c r="BF128" s="84"/>
      <c r="BG128" s="84"/>
      <c r="BH128" s="84"/>
      <c r="BI128" s="84"/>
      <c r="BJ128" s="251" t="s">
        <v>65</v>
      </c>
      <c r="BK128" s="84"/>
      <c r="BL128" s="84"/>
      <c r="BM128" s="252"/>
      <c r="BN128" s="253"/>
      <c r="BO128" s="90"/>
      <c r="BP128" s="90"/>
      <c r="BQ128" s="90"/>
      <c r="BR128" s="91"/>
      <c r="BS128" s="84"/>
      <c r="BT128" s="84"/>
      <c r="BU128" s="84"/>
      <c r="BV128" s="84"/>
      <c r="BW128" s="84"/>
      <c r="BX128" s="84"/>
      <c r="BY128" s="84"/>
      <c r="BZ128" s="84"/>
      <c r="CA128" s="84"/>
      <c r="CB128" s="84"/>
      <c r="CC128" s="84"/>
      <c r="CD128" s="84"/>
      <c r="CE128" s="84"/>
      <c r="CF128" s="84"/>
      <c r="CG128" s="84"/>
      <c r="CH128" s="92"/>
      <c r="CJ128" s="135">
        <f>$H$39</f>
        <v>27</v>
      </c>
      <c r="CK128" s="135" t="str">
        <f t="shared" si="9"/>
        <v>Iniciados</v>
      </c>
      <c r="CL128" s="135" t="str">
        <f t="shared" si="10"/>
        <v>Pares</v>
      </c>
      <c r="CM128" s="135" t="str">
        <f t="shared" si="11"/>
        <v>Mistos</v>
      </c>
      <c r="CN128" s="135" t="str">
        <f>"3º Jogo dos 1/4 final"</f>
        <v>3º Jogo dos 1/4 final</v>
      </c>
      <c r="CO128" s="135" t="str">
        <f>$C$38</f>
        <v>1º do grupo B</v>
      </c>
      <c r="CP128" s="135" t="str">
        <f>$C$40</f>
        <v>2º do grupo A</v>
      </c>
    </row>
    <row r="129" spans="53:94" ht="7.5" hidden="1" customHeight="1">
      <c r="BA129" s="88"/>
      <c r="BB129" s="84"/>
      <c r="BC129" s="84"/>
      <c r="BD129" s="84"/>
      <c r="BE129" s="84"/>
      <c r="BF129" s="84"/>
      <c r="BG129" s="84"/>
      <c r="BH129" s="84"/>
      <c r="BI129" s="84"/>
      <c r="BJ129" s="84"/>
      <c r="BK129" s="84"/>
      <c r="BL129" s="84"/>
      <c r="BM129" s="84"/>
      <c r="BN129" s="84"/>
      <c r="BO129" s="84"/>
      <c r="BP129" s="84"/>
      <c r="BQ129" s="84"/>
      <c r="BR129" s="84"/>
      <c r="BS129" s="84"/>
      <c r="BT129" s="84"/>
      <c r="BU129" s="84"/>
      <c r="BV129" s="84"/>
      <c r="BW129" s="84"/>
      <c r="BX129" s="84"/>
      <c r="BY129" s="84"/>
      <c r="BZ129" s="84"/>
      <c r="CA129" s="84"/>
      <c r="CB129" s="84"/>
      <c r="CC129" s="84"/>
      <c r="CD129" s="84"/>
      <c r="CE129" s="84"/>
      <c r="CF129" s="84"/>
      <c r="CG129" s="84"/>
      <c r="CH129" s="92"/>
      <c r="CJ129" s="135">
        <f>$H$43</f>
        <v>28</v>
      </c>
      <c r="CK129" s="135" t="str">
        <f t="shared" si="9"/>
        <v>Iniciados</v>
      </c>
      <c r="CL129" s="135" t="str">
        <f t="shared" si="10"/>
        <v>Pares</v>
      </c>
      <c r="CM129" s="135" t="str">
        <f t="shared" si="11"/>
        <v>Mistos</v>
      </c>
      <c r="CN129" s="135" t="str">
        <f>"4º Jogo dos 1/4 final"</f>
        <v>4º Jogo dos 1/4 final</v>
      </c>
      <c r="CO129" s="135" t="str">
        <f>$C$42</f>
        <v>2º do grupo C</v>
      </c>
      <c r="CP129" s="135" t="str">
        <f>$C$44</f>
        <v>1º do grupo D</v>
      </c>
    </row>
    <row r="130" spans="53:94" ht="17.25" hidden="1" customHeight="1" thickBot="1">
      <c r="BA130" s="88"/>
      <c r="BB130" s="316" t="s">
        <v>35</v>
      </c>
      <c r="BC130" s="316"/>
      <c r="BD130" s="93" t="s">
        <v>21</v>
      </c>
      <c r="BE130" s="93"/>
      <c r="BF130" s="93"/>
      <c r="BG130" s="93" t="s">
        <v>22</v>
      </c>
      <c r="BH130" s="93"/>
      <c r="BI130" s="93"/>
      <c r="BJ130" s="93" t="s">
        <v>23</v>
      </c>
      <c r="BK130" s="93"/>
      <c r="BL130" s="93"/>
      <c r="BM130" s="84"/>
      <c r="BN130" s="84"/>
      <c r="BO130" s="84"/>
      <c r="BP130" s="84"/>
      <c r="BQ130" s="84"/>
      <c r="BR130" s="84"/>
      <c r="BS130" s="84"/>
      <c r="BT130" s="84"/>
      <c r="BU130" s="84"/>
      <c r="BV130" s="84"/>
      <c r="BW130" s="84"/>
      <c r="BX130" s="84"/>
      <c r="BY130" s="84"/>
      <c r="BZ130" s="84"/>
      <c r="CA130" s="84"/>
      <c r="CB130" s="84"/>
      <c r="CC130" s="84"/>
      <c r="CD130" s="84"/>
      <c r="CE130" s="84"/>
      <c r="CF130" s="84"/>
      <c r="CG130" s="84"/>
      <c r="CH130" s="92"/>
      <c r="CJ130" s="135">
        <f>$O$33</f>
        <v>29</v>
      </c>
      <c r="CK130" s="135" t="str">
        <f t="shared" si="9"/>
        <v>Iniciados</v>
      </c>
      <c r="CL130" s="135" t="str">
        <f t="shared" si="10"/>
        <v>Pares</v>
      </c>
      <c r="CM130" s="135" t="str">
        <f t="shared" si="11"/>
        <v>Mistos</v>
      </c>
      <c r="CN130" s="135" t="str">
        <f>"1ª Meia Final"</f>
        <v>1ª Meia Final</v>
      </c>
      <c r="CO130" s="135" t="str">
        <f>$I$31</f>
        <v>1ª Meia Final-Jogador1</v>
      </c>
      <c r="CP130" s="135" t="str">
        <f>$I$35</f>
        <v>1ª Meia Final-Jogador2</v>
      </c>
    </row>
    <row r="131" spans="53:94" ht="19.5" hidden="1" customHeight="1">
      <c r="BA131" s="88"/>
      <c r="BB131" s="302" t="str">
        <f>IF(BC128="","",VLOOKUP(BC128,$CJ$102:$CP$145,6,FALSE))</f>
        <v>F Monteiro/B Campos (Norte)</v>
      </c>
      <c r="BC131" s="303"/>
      <c r="BD131" s="302"/>
      <c r="BE131" s="306"/>
      <c r="BF131" s="303"/>
      <c r="BG131" s="302"/>
      <c r="BH131" s="306"/>
      <c r="BI131" s="303"/>
      <c r="BJ131" s="302"/>
      <c r="BK131" s="306"/>
      <c r="BL131" s="303"/>
      <c r="BM131" s="72"/>
      <c r="BN131" s="72"/>
      <c r="BO131" s="308"/>
      <c r="BP131" s="308"/>
      <c r="BQ131" s="308"/>
      <c r="BR131" s="94"/>
      <c r="BS131" s="95"/>
      <c r="BT131" s="84"/>
      <c r="BU131" s="84"/>
      <c r="BV131" s="84"/>
      <c r="BW131" s="84"/>
      <c r="BX131" s="84"/>
      <c r="BY131" s="84"/>
      <c r="BZ131" s="84"/>
      <c r="CA131" s="84"/>
      <c r="CB131" s="84"/>
      <c r="CC131" s="84"/>
      <c r="CD131" s="84"/>
      <c r="CE131" s="84"/>
      <c r="CF131" s="84"/>
      <c r="CG131" s="84"/>
      <c r="CH131" s="92"/>
      <c r="CJ131" s="135">
        <f>$O$41</f>
        <v>30</v>
      </c>
      <c r="CK131" s="135" t="str">
        <f t="shared" si="9"/>
        <v>Iniciados</v>
      </c>
      <c r="CL131" s="135" t="str">
        <f t="shared" si="10"/>
        <v>Pares</v>
      </c>
      <c r="CM131" s="135" t="str">
        <f t="shared" si="11"/>
        <v>Mistos</v>
      </c>
      <c r="CN131" s="135" t="str">
        <f>"2ª Meia Final"</f>
        <v>2ª Meia Final</v>
      </c>
      <c r="CO131" s="135" t="str">
        <f>$I$39</f>
        <v>2ª Meia Final-Jogador1</v>
      </c>
      <c r="CP131" s="135" t="str">
        <f>$I$43</f>
        <v>2ª Meia Final-Jogador2</v>
      </c>
    </row>
    <row r="132" spans="53:94" ht="19.5" hidden="1" customHeight="1" thickBot="1">
      <c r="BA132" s="88"/>
      <c r="BB132" s="304"/>
      <c r="BC132" s="305"/>
      <c r="BD132" s="304"/>
      <c r="BE132" s="307"/>
      <c r="BF132" s="305"/>
      <c r="BG132" s="304"/>
      <c r="BH132" s="307"/>
      <c r="BI132" s="305"/>
      <c r="BJ132" s="304"/>
      <c r="BK132" s="307"/>
      <c r="BL132" s="305"/>
      <c r="BM132" s="72"/>
      <c r="BN132" s="72"/>
      <c r="BO132" s="308"/>
      <c r="BP132" s="308"/>
      <c r="BQ132" s="308"/>
      <c r="BR132" s="94"/>
      <c r="BS132" s="95"/>
      <c r="BT132" s="84"/>
      <c r="BU132" s="84"/>
      <c r="BV132" s="84"/>
      <c r="BW132" s="84"/>
      <c r="BX132" s="84"/>
      <c r="BY132" s="84"/>
      <c r="BZ132" s="84"/>
      <c r="CA132" s="84"/>
      <c r="CB132" s="84"/>
      <c r="CC132" s="84"/>
      <c r="CD132" s="84"/>
      <c r="CE132" s="84"/>
      <c r="CF132" s="84"/>
      <c r="CG132" s="84"/>
      <c r="CH132" s="92"/>
      <c r="CJ132" s="135">
        <f>$V$37</f>
        <v>31</v>
      </c>
      <c r="CK132" s="135" t="str">
        <f t="shared" si="9"/>
        <v>Iniciados</v>
      </c>
      <c r="CL132" s="135" t="str">
        <f t="shared" si="10"/>
        <v>Pares</v>
      </c>
      <c r="CM132" s="135" t="str">
        <f t="shared" si="11"/>
        <v>Mistos</v>
      </c>
      <c r="CN132" s="135" t="str">
        <f>"Jogo 3º/4º lugar"</f>
        <v>Jogo 3º/4º lugar</v>
      </c>
      <c r="CO132" s="135" t="str">
        <f>$P$35</f>
        <v>Disputa 3º/4º  Jogador1</v>
      </c>
      <c r="CP132" s="135" t="str">
        <f>$P$39</f>
        <v>Disputa 3º/4º  Jogador2</v>
      </c>
    </row>
    <row r="133" spans="53:94" ht="19.5" hidden="1" customHeight="1">
      <c r="BA133" s="88"/>
      <c r="BB133" s="302" t="str">
        <f>IF(BC128="","",VLOOKUP(BC128,$CJ$102:$CP$145,7,FALSE))</f>
        <v>L Pascoal/P Bezerra (Alentejo)</v>
      </c>
      <c r="BC133" s="303"/>
      <c r="BD133" s="302"/>
      <c r="BE133" s="306"/>
      <c r="BF133" s="303"/>
      <c r="BG133" s="302"/>
      <c r="BH133" s="306"/>
      <c r="BI133" s="303"/>
      <c r="BJ133" s="302"/>
      <c r="BK133" s="306"/>
      <c r="BL133" s="303"/>
      <c r="BM133" s="72"/>
      <c r="BN133" s="72"/>
      <c r="BO133" s="308"/>
      <c r="BP133" s="308"/>
      <c r="BQ133" s="308"/>
      <c r="BR133" s="94"/>
      <c r="BS133" s="95"/>
      <c r="BT133" s="84"/>
      <c r="BU133" s="84"/>
      <c r="BV133" s="84"/>
      <c r="BW133" s="84"/>
      <c r="BX133" s="84"/>
      <c r="BY133" s="84"/>
      <c r="BZ133" s="84"/>
      <c r="CA133" s="84"/>
      <c r="CB133" s="84"/>
      <c r="CC133" s="84"/>
      <c r="CD133" s="84"/>
      <c r="CE133" s="84"/>
      <c r="CF133" s="84"/>
      <c r="CG133" s="84"/>
      <c r="CH133" s="92"/>
      <c r="CJ133" s="136">
        <f>$W$37</f>
        <v>32</v>
      </c>
      <c r="CK133" s="136" t="str">
        <f t="shared" si="9"/>
        <v>Iniciados</v>
      </c>
      <c r="CL133" s="136" t="str">
        <f t="shared" si="10"/>
        <v>Pares</v>
      </c>
      <c r="CM133" s="136" t="str">
        <f t="shared" si="11"/>
        <v>Mistos</v>
      </c>
      <c r="CN133" s="136" t="str">
        <f>"Final"</f>
        <v>Final</v>
      </c>
      <c r="CO133" s="136" t="str">
        <f>$P$33</f>
        <v>Final-Jogador1</v>
      </c>
      <c r="CP133" s="136" t="str">
        <f>$P$41</f>
        <v>Final-Jogador2</v>
      </c>
    </row>
    <row r="134" spans="53:94" ht="19.5" hidden="1" customHeight="1" thickBot="1">
      <c r="BA134" s="88"/>
      <c r="BB134" s="304"/>
      <c r="BC134" s="305"/>
      <c r="BD134" s="304"/>
      <c r="BE134" s="307"/>
      <c r="BF134" s="305"/>
      <c r="BG134" s="304"/>
      <c r="BH134" s="307"/>
      <c r="BI134" s="305"/>
      <c r="BJ134" s="304"/>
      <c r="BK134" s="307"/>
      <c r="BL134" s="305"/>
      <c r="BM134" s="72"/>
      <c r="BN134" s="72"/>
      <c r="BO134" s="308"/>
      <c r="BP134" s="308"/>
      <c r="BQ134" s="308"/>
      <c r="BR134" s="96"/>
      <c r="BS134" s="95"/>
      <c r="BT134" s="84"/>
      <c r="BU134" s="84"/>
      <c r="BV134" s="84"/>
      <c r="BW134" s="84"/>
      <c r="BX134" s="84"/>
      <c r="BY134" s="84"/>
      <c r="BZ134" s="84"/>
      <c r="CA134" s="84"/>
      <c r="CB134" s="84"/>
      <c r="CC134" s="84"/>
      <c r="CD134" s="84"/>
      <c r="CE134" s="84"/>
      <c r="CF134" s="84"/>
      <c r="CG134" s="84"/>
      <c r="CH134" s="92"/>
      <c r="CJ134" s="135">
        <f>$O$52</f>
        <v>33</v>
      </c>
      <c r="CK134" s="135" t="str">
        <f t="shared" si="9"/>
        <v>Iniciados</v>
      </c>
      <c r="CL134" s="135" t="str">
        <f t="shared" si="10"/>
        <v>Pares</v>
      </c>
      <c r="CM134" s="135" t="str">
        <f t="shared" si="11"/>
        <v>Mistos</v>
      </c>
      <c r="CN134" s="135" t="str">
        <f>"Disp 5º-8º - Jogo1"</f>
        <v>Disp 5º-8º - Jogo1</v>
      </c>
      <c r="CO134" s="135" t="str">
        <f>$I$50</f>
        <v>Vencido do jogo 25</v>
      </c>
      <c r="CP134" s="135" t="str">
        <f>$I$54</f>
        <v>Vencido do jogo 26</v>
      </c>
    </row>
    <row r="135" spans="53:94" ht="22.5" hidden="1" customHeight="1" thickBot="1">
      <c r="BA135" s="88"/>
      <c r="BB135" s="97" t="s">
        <v>24</v>
      </c>
      <c r="BC135" s="309"/>
      <c r="BD135" s="310"/>
      <c r="BE135" s="310"/>
      <c r="BF135" s="310"/>
      <c r="BG135" s="311"/>
      <c r="BH135" s="311"/>
      <c r="BI135" s="311"/>
      <c r="BJ135" s="311"/>
      <c r="BK135" s="311"/>
      <c r="BL135" s="311"/>
      <c r="BM135" s="312"/>
      <c r="BN135" s="313"/>
      <c r="BO135" s="313"/>
      <c r="BP135" s="313"/>
      <c r="BQ135" s="313"/>
      <c r="BR135" s="95"/>
      <c r="BS135" s="95"/>
      <c r="BT135" s="84"/>
      <c r="BU135" s="84"/>
      <c r="BV135" s="84"/>
      <c r="BW135" s="84"/>
      <c r="BX135" s="84"/>
      <c r="BY135" s="84"/>
      <c r="BZ135" s="84"/>
      <c r="CA135" s="84"/>
      <c r="CB135" s="84"/>
      <c r="CC135" s="84"/>
      <c r="CD135" s="84"/>
      <c r="CE135" s="84"/>
      <c r="CF135" s="84"/>
      <c r="CG135" s="84"/>
      <c r="CH135" s="92"/>
      <c r="CJ135" s="135">
        <f>$O$60</f>
        <v>34</v>
      </c>
      <c r="CK135" s="135" t="str">
        <f t="shared" si="9"/>
        <v>Iniciados</v>
      </c>
      <c r="CL135" s="135" t="str">
        <f t="shared" si="10"/>
        <v>Pares</v>
      </c>
      <c r="CM135" s="135" t="str">
        <f t="shared" si="11"/>
        <v>Mistos</v>
      </c>
      <c r="CN135" s="135" t="str">
        <f>"Disp 5º-8º - Jogo2"</f>
        <v>Disp 5º-8º - Jogo2</v>
      </c>
      <c r="CO135" s="135" t="str">
        <f>$I$58</f>
        <v>Vencido do jogo 27</v>
      </c>
      <c r="CP135" s="135" t="str">
        <f>$I$62</f>
        <v>Vencido do jogo 28</v>
      </c>
    </row>
    <row r="136" spans="53:94" ht="18.75" hidden="1" customHeight="1">
      <c r="BA136" s="88"/>
      <c r="BB136" s="73" t="s">
        <v>35</v>
      </c>
      <c r="BC136" s="73"/>
      <c r="BD136" s="73"/>
      <c r="BE136" s="73"/>
      <c r="BF136" s="73"/>
      <c r="BG136" s="73"/>
      <c r="BH136" s="7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84"/>
      <c r="BT136" s="84"/>
      <c r="BU136" s="84"/>
      <c r="BV136" s="84"/>
      <c r="BW136" s="84"/>
      <c r="BX136" s="84"/>
      <c r="BY136" s="84"/>
      <c r="BZ136" s="84"/>
      <c r="CA136" s="84"/>
      <c r="CB136" s="84"/>
      <c r="CC136" s="84"/>
      <c r="CD136" s="84"/>
      <c r="CE136" s="84"/>
      <c r="CF136" s="84"/>
      <c r="CG136" s="84"/>
      <c r="CH136" s="92"/>
      <c r="CJ136" s="135">
        <f>$V$56</f>
        <v>35</v>
      </c>
      <c r="CK136" s="135" t="str">
        <f t="shared" si="9"/>
        <v>Iniciados</v>
      </c>
      <c r="CL136" s="135" t="str">
        <f t="shared" si="10"/>
        <v>Pares</v>
      </c>
      <c r="CM136" s="135" t="str">
        <f t="shared" si="11"/>
        <v>Mistos</v>
      </c>
      <c r="CN136" s="135" t="str">
        <f>"Jogo 7º/8º lugar"</f>
        <v>Jogo 7º/8º lugar</v>
      </c>
      <c r="CO136" s="135" t="str">
        <f>$P$54</f>
        <v>Disputa 7º/8º  Jogador1</v>
      </c>
      <c r="CP136" s="135" t="str">
        <f>$P$58</f>
        <v>Disputa 7º/8º  Jogador2</v>
      </c>
    </row>
    <row r="137" spans="53:94" ht="15" hidden="1" customHeight="1">
      <c r="BA137" s="88"/>
      <c r="BB137" s="298" t="str">
        <f>IF($BB$131="","",$BB$131)</f>
        <v>F Monteiro/B Campos (Norte)</v>
      </c>
      <c r="BC137" s="299"/>
      <c r="BD137" s="74"/>
      <c r="BE137" s="75"/>
      <c r="BF137" s="75"/>
      <c r="BG137" s="75"/>
      <c r="BH137" s="75"/>
      <c r="BI137" s="75"/>
      <c r="BJ137" s="75"/>
      <c r="BK137" s="75"/>
      <c r="BL137" s="75"/>
      <c r="BM137" s="76"/>
      <c r="BN137" s="254"/>
      <c r="BO137" s="256"/>
      <c r="BP137" s="77"/>
      <c r="BQ137" s="77"/>
      <c r="BR137" s="77"/>
      <c r="BS137" s="78"/>
      <c r="BT137" s="75"/>
      <c r="BU137" s="75"/>
      <c r="BV137" s="75"/>
      <c r="BW137" s="75"/>
      <c r="BX137" s="254"/>
      <c r="BY137" s="76"/>
      <c r="BZ137" s="75"/>
      <c r="CA137" s="75"/>
      <c r="CB137" s="75"/>
      <c r="CC137" s="75"/>
      <c r="CD137" s="75"/>
      <c r="CE137" s="75"/>
      <c r="CF137" s="75"/>
      <c r="CG137" s="75"/>
      <c r="CH137" s="92"/>
      <c r="CJ137" s="136">
        <f>$W$56</f>
        <v>36</v>
      </c>
      <c r="CK137" s="136" t="str">
        <f t="shared" si="9"/>
        <v>Iniciados</v>
      </c>
      <c r="CL137" s="136" t="str">
        <f t="shared" si="10"/>
        <v>Pares</v>
      </c>
      <c r="CM137" s="136" t="str">
        <f t="shared" si="11"/>
        <v>Mistos</v>
      </c>
      <c r="CN137" s="136" t="str">
        <f>"Jogo 5º/6º lugar"</f>
        <v>Jogo 5º/6º lugar</v>
      </c>
      <c r="CO137" s="136" t="str">
        <f>$P$52</f>
        <v>Disputa 5º/6º Jogador1</v>
      </c>
      <c r="CP137" s="136" t="str">
        <f>$P$60</f>
        <v>Disputa 5º/6º Jogador2</v>
      </c>
    </row>
    <row r="138" spans="53:94" ht="15" hidden="1" customHeight="1">
      <c r="BA138" s="88"/>
      <c r="BB138" s="300"/>
      <c r="BC138" s="301"/>
      <c r="BD138" s="79"/>
      <c r="BE138" s="80"/>
      <c r="BF138" s="80"/>
      <c r="BG138" s="80"/>
      <c r="BH138" s="80"/>
      <c r="BI138" s="80"/>
      <c r="BJ138" s="80"/>
      <c r="BK138" s="80"/>
      <c r="BL138" s="80"/>
      <c r="BM138" s="81"/>
      <c r="BN138" s="255"/>
      <c r="BO138" s="257"/>
      <c r="BP138" s="82"/>
      <c r="BQ138" s="82"/>
      <c r="BR138" s="82"/>
      <c r="BS138" s="83"/>
      <c r="BT138" s="80"/>
      <c r="BU138" s="80"/>
      <c r="BV138" s="80"/>
      <c r="BW138" s="80"/>
      <c r="BX138" s="255"/>
      <c r="BY138" s="81"/>
      <c r="BZ138" s="80"/>
      <c r="CA138" s="80"/>
      <c r="CB138" s="80"/>
      <c r="CC138" s="80"/>
      <c r="CD138" s="80"/>
      <c r="CE138" s="80"/>
      <c r="CF138" s="80"/>
      <c r="CG138" s="80"/>
      <c r="CH138" s="98" t="s">
        <v>1</v>
      </c>
      <c r="CJ138" s="136">
        <v>37</v>
      </c>
      <c r="CK138" s="136" t="str">
        <f t="shared" si="9"/>
        <v>Iniciados</v>
      </c>
      <c r="CL138" s="136" t="str">
        <f t="shared" si="10"/>
        <v>Pares</v>
      </c>
      <c r="CM138" s="136" t="str">
        <f t="shared" si="11"/>
        <v>Mistos</v>
      </c>
      <c r="CN138" s="136" t="str">
        <f>"Disp 9º-12º - Jogo1"</f>
        <v>Disp 9º-12º - Jogo1</v>
      </c>
      <c r="CO138" s="136" t="str">
        <f>$I$68</f>
        <v>3º  do Grupo A</v>
      </c>
      <c r="CP138" s="136" t="str">
        <f>$I$72</f>
        <v>3º  do Grupo B</v>
      </c>
    </row>
    <row r="139" spans="53:94" ht="15" hidden="1" customHeight="1">
      <c r="BA139" s="88"/>
      <c r="BB139" s="298" t="str">
        <f>IF($BB$133="","",$BB$133)</f>
        <v>L Pascoal/P Bezerra (Alentejo)</v>
      </c>
      <c r="BC139" s="299"/>
      <c r="BD139" s="74"/>
      <c r="BE139" s="75"/>
      <c r="BF139" s="75"/>
      <c r="BG139" s="75"/>
      <c r="BH139" s="75"/>
      <c r="BI139" s="75"/>
      <c r="BJ139" s="75"/>
      <c r="BK139" s="75"/>
      <c r="BL139" s="75"/>
      <c r="BM139" s="76"/>
      <c r="BN139" s="254"/>
      <c r="BO139" s="256"/>
      <c r="BP139" s="77"/>
      <c r="BQ139" s="77"/>
      <c r="BR139" s="77"/>
      <c r="BS139" s="78"/>
      <c r="BT139" s="75"/>
      <c r="BU139" s="75"/>
      <c r="BV139" s="75"/>
      <c r="BW139" s="75"/>
      <c r="BX139" s="254"/>
      <c r="BY139" s="76"/>
      <c r="BZ139" s="75"/>
      <c r="CA139" s="75"/>
      <c r="CB139" s="75"/>
      <c r="CC139" s="75"/>
      <c r="CD139" s="75"/>
      <c r="CE139" s="75"/>
      <c r="CF139" s="75"/>
      <c r="CG139" s="75"/>
      <c r="CH139" s="99"/>
      <c r="CJ139" s="136">
        <v>38</v>
      </c>
      <c r="CK139" s="136" t="str">
        <f t="shared" si="9"/>
        <v>Iniciados</v>
      </c>
      <c r="CL139" s="136" t="str">
        <f t="shared" si="10"/>
        <v>Pares</v>
      </c>
      <c r="CM139" s="136" t="str">
        <f t="shared" si="11"/>
        <v>Mistos</v>
      </c>
      <c r="CN139" s="136" t="str">
        <f>"Disp 9º-12º - Jogo2"</f>
        <v>Disp 9º-12º - Jogo2</v>
      </c>
      <c r="CO139" s="136" t="str">
        <f>$I$76</f>
        <v>3º  do Grupo C</v>
      </c>
      <c r="CP139" s="136" t="str">
        <f>$I$80</f>
        <v>3º  do Grupo D</v>
      </c>
    </row>
    <row r="140" spans="53:94" ht="15" hidden="1" customHeight="1">
      <c r="BA140" s="88"/>
      <c r="BB140" s="300"/>
      <c r="BC140" s="301"/>
      <c r="BD140" s="79"/>
      <c r="BE140" s="80"/>
      <c r="BF140" s="80"/>
      <c r="BG140" s="80"/>
      <c r="BH140" s="80"/>
      <c r="BI140" s="80"/>
      <c r="BJ140" s="80"/>
      <c r="BK140" s="80"/>
      <c r="BL140" s="80"/>
      <c r="BM140" s="81"/>
      <c r="BN140" s="255"/>
      <c r="BO140" s="257"/>
      <c r="BP140" s="82"/>
      <c r="BQ140" s="82"/>
      <c r="BR140" s="82"/>
      <c r="BS140" s="83"/>
      <c r="BT140" s="80"/>
      <c r="BU140" s="80"/>
      <c r="BV140" s="80"/>
      <c r="BW140" s="80"/>
      <c r="BX140" s="255"/>
      <c r="BY140" s="81"/>
      <c r="BZ140" s="80"/>
      <c r="CA140" s="80"/>
      <c r="CB140" s="80"/>
      <c r="CC140" s="80"/>
      <c r="CD140" s="80"/>
      <c r="CE140" s="80"/>
      <c r="CF140" s="80"/>
      <c r="CG140" s="80"/>
      <c r="CH140" s="92"/>
      <c r="CJ140" s="136">
        <v>39</v>
      </c>
      <c r="CK140" s="136" t="str">
        <f t="shared" si="9"/>
        <v>Iniciados</v>
      </c>
      <c r="CL140" s="136" t="str">
        <f t="shared" si="10"/>
        <v>Pares</v>
      </c>
      <c r="CM140" s="136" t="str">
        <f t="shared" si="11"/>
        <v>Mistos</v>
      </c>
      <c r="CN140" s="136" t="str">
        <f>"Jogo 11º/12º lugar"</f>
        <v>Jogo 11º/12º lugar</v>
      </c>
      <c r="CO140" s="136" t="str">
        <f>$P$72</f>
        <v>Disputa 11º/12º  Jogador1</v>
      </c>
      <c r="CP140" s="136" t="str">
        <f>$P$76</f>
        <v>Disputa 11º/12º  Jogador2</v>
      </c>
    </row>
    <row r="141" spans="53:94" ht="12.75" hidden="1" customHeight="1">
      <c r="BA141" s="88"/>
      <c r="BB141" s="84"/>
      <c r="BC141" s="84"/>
      <c r="BD141" s="100">
        <v>1</v>
      </c>
      <c r="BE141" s="100">
        <v>2</v>
      </c>
      <c r="BF141" s="100">
        <v>3</v>
      </c>
      <c r="BG141" s="100">
        <v>4</v>
      </c>
      <c r="BH141" s="100">
        <v>5</v>
      </c>
      <c r="BI141" s="100">
        <v>6</v>
      </c>
      <c r="BJ141" s="100">
        <v>7</v>
      </c>
      <c r="BK141" s="100">
        <v>8</v>
      </c>
      <c r="BL141" s="100">
        <v>9</v>
      </c>
      <c r="BM141" s="100">
        <v>10</v>
      </c>
      <c r="BN141" s="100">
        <v>11</v>
      </c>
      <c r="BO141" s="100">
        <v>12</v>
      </c>
      <c r="BP141" s="100">
        <v>13</v>
      </c>
      <c r="BQ141" s="100">
        <v>14</v>
      </c>
      <c r="BR141" s="100">
        <v>15</v>
      </c>
      <c r="BS141" s="100">
        <v>16</v>
      </c>
      <c r="BT141" s="100">
        <v>17</v>
      </c>
      <c r="BU141" s="100">
        <v>18</v>
      </c>
      <c r="BV141" s="100">
        <v>19</v>
      </c>
      <c r="BW141" s="100">
        <v>20</v>
      </c>
      <c r="BX141" s="100">
        <v>21</v>
      </c>
      <c r="BY141" s="100">
        <v>22</v>
      </c>
      <c r="BZ141" s="100">
        <v>23</v>
      </c>
      <c r="CA141" s="100">
        <v>24</v>
      </c>
      <c r="CB141" s="100">
        <v>25</v>
      </c>
      <c r="CC141" s="100">
        <v>26</v>
      </c>
      <c r="CD141" s="100">
        <v>27</v>
      </c>
      <c r="CE141" s="100">
        <v>28</v>
      </c>
      <c r="CF141" s="100">
        <v>29</v>
      </c>
      <c r="CG141" s="100">
        <v>30</v>
      </c>
      <c r="CH141" s="101"/>
      <c r="CJ141" s="136">
        <v>40</v>
      </c>
      <c r="CK141" s="136" t="str">
        <f t="shared" si="9"/>
        <v>Iniciados</v>
      </c>
      <c r="CL141" s="136" t="str">
        <f t="shared" si="10"/>
        <v>Pares</v>
      </c>
      <c r="CM141" s="136" t="str">
        <f t="shared" si="11"/>
        <v>Mistos</v>
      </c>
      <c r="CN141" s="136" t="str">
        <f>"Jogo 9º/10º lugar"</f>
        <v>Jogo 9º/10º lugar</v>
      </c>
      <c r="CO141" s="136" t="str">
        <f>$P$70</f>
        <v>Disputa 9º/10º Jogador1</v>
      </c>
      <c r="CP141" s="136" t="str">
        <f>$P$78</f>
        <v>Disputa 9º/10º Jogador2</v>
      </c>
    </row>
    <row r="142" spans="53:94" ht="15" hidden="1" customHeight="1">
      <c r="BA142" s="88"/>
      <c r="BB142" s="298" t="str">
        <f>IF($BB$131="","",$BB$131)</f>
        <v>F Monteiro/B Campos (Norte)</v>
      </c>
      <c r="BC142" s="299"/>
      <c r="BD142" s="74"/>
      <c r="BE142" s="75"/>
      <c r="BF142" s="75"/>
      <c r="BG142" s="75"/>
      <c r="BH142" s="75"/>
      <c r="BI142" s="75"/>
      <c r="BJ142" s="75"/>
      <c r="BK142" s="75"/>
      <c r="BL142" s="75"/>
      <c r="BM142" s="76"/>
      <c r="BN142" s="254"/>
      <c r="BO142" s="256"/>
      <c r="BP142" s="77"/>
      <c r="BQ142" s="77"/>
      <c r="BR142" s="77"/>
      <c r="BS142" s="78"/>
      <c r="BT142" s="75"/>
      <c r="BU142" s="75"/>
      <c r="BV142" s="75"/>
      <c r="BW142" s="75"/>
      <c r="BX142" s="254"/>
      <c r="BY142" s="76"/>
      <c r="BZ142" s="75"/>
      <c r="CA142" s="75"/>
      <c r="CB142" s="75"/>
      <c r="CC142" s="75"/>
      <c r="CD142" s="75"/>
      <c r="CE142" s="75"/>
      <c r="CF142" s="75"/>
      <c r="CG142" s="75"/>
      <c r="CH142" s="92"/>
      <c r="CJ142" s="136">
        <v>41</v>
      </c>
      <c r="CK142" s="136" t="str">
        <f t="shared" si="9"/>
        <v>Iniciados</v>
      </c>
      <c r="CL142" s="136" t="str">
        <f t="shared" si="10"/>
        <v>Pares</v>
      </c>
      <c r="CM142" s="136" t="str">
        <f t="shared" si="11"/>
        <v>Mistos</v>
      </c>
      <c r="CN142" s="136" t="str">
        <f>"Disp 13º-16º - Jogo1"</f>
        <v>Disp 13º-16º - Jogo1</v>
      </c>
      <c r="CO142" s="136" t="str">
        <f>$I$86</f>
        <v>4º  do Grupo A</v>
      </c>
      <c r="CP142" s="136" t="str">
        <f>$I$90</f>
        <v>4º  do Grupo B</v>
      </c>
    </row>
    <row r="143" spans="53:94" ht="15" hidden="1" customHeight="1">
      <c r="BA143" s="88"/>
      <c r="BB143" s="300"/>
      <c r="BC143" s="301"/>
      <c r="BD143" s="79"/>
      <c r="BE143" s="80"/>
      <c r="BF143" s="80"/>
      <c r="BG143" s="80"/>
      <c r="BH143" s="80"/>
      <c r="BI143" s="80"/>
      <c r="BJ143" s="80"/>
      <c r="BK143" s="80"/>
      <c r="BL143" s="80"/>
      <c r="BM143" s="81"/>
      <c r="BN143" s="255"/>
      <c r="BO143" s="257"/>
      <c r="BP143" s="82"/>
      <c r="BQ143" s="82"/>
      <c r="BR143" s="82"/>
      <c r="BS143" s="83"/>
      <c r="BT143" s="80"/>
      <c r="BU143" s="80"/>
      <c r="BV143" s="80"/>
      <c r="BW143" s="80"/>
      <c r="BX143" s="255"/>
      <c r="BY143" s="81"/>
      <c r="BZ143" s="80"/>
      <c r="CA143" s="80"/>
      <c r="CB143" s="80"/>
      <c r="CC143" s="80"/>
      <c r="CD143" s="80"/>
      <c r="CE143" s="80"/>
      <c r="CF143" s="80"/>
      <c r="CG143" s="80"/>
      <c r="CH143" s="92"/>
      <c r="CJ143" s="136">
        <v>42</v>
      </c>
      <c r="CK143" s="136" t="str">
        <f t="shared" si="9"/>
        <v>Iniciados</v>
      </c>
      <c r="CL143" s="136" t="str">
        <f t="shared" si="10"/>
        <v>Pares</v>
      </c>
      <c r="CM143" s="136" t="str">
        <f t="shared" si="11"/>
        <v>Mistos</v>
      </c>
      <c r="CN143" s="136" t="str">
        <f>"Disp 13º-16º - Jogo2"</f>
        <v>Disp 13º-16º - Jogo2</v>
      </c>
      <c r="CO143" s="136" t="str">
        <f>$I$94</f>
        <v>4º  do Grupo C</v>
      </c>
      <c r="CP143" s="136" t="str">
        <f>$I$98</f>
        <v>4º  do Grupo D</v>
      </c>
    </row>
    <row r="144" spans="53:94" ht="15" hidden="1" customHeight="1">
      <c r="BA144" s="88"/>
      <c r="BB144" s="298" t="str">
        <f>IF($BB$133="","",$BB$133)</f>
        <v>L Pascoal/P Bezerra (Alentejo)</v>
      </c>
      <c r="BC144" s="299"/>
      <c r="BD144" s="74"/>
      <c r="BE144" s="75"/>
      <c r="BF144" s="75"/>
      <c r="BG144" s="75"/>
      <c r="BH144" s="75"/>
      <c r="BI144" s="75"/>
      <c r="BJ144" s="75"/>
      <c r="BK144" s="75"/>
      <c r="BL144" s="75"/>
      <c r="BM144" s="76"/>
      <c r="BN144" s="254"/>
      <c r="BO144" s="256"/>
      <c r="BP144" s="77"/>
      <c r="BQ144" s="77"/>
      <c r="BR144" s="77"/>
      <c r="BS144" s="78"/>
      <c r="BT144" s="75"/>
      <c r="BU144" s="75"/>
      <c r="BV144" s="75"/>
      <c r="BW144" s="75"/>
      <c r="BX144" s="254"/>
      <c r="BY144" s="76"/>
      <c r="BZ144" s="75"/>
      <c r="CA144" s="75"/>
      <c r="CB144" s="75"/>
      <c r="CC144" s="75"/>
      <c r="CD144" s="75"/>
      <c r="CE144" s="75"/>
      <c r="CF144" s="75"/>
      <c r="CG144" s="75"/>
      <c r="CH144" s="98" t="s">
        <v>2</v>
      </c>
      <c r="CJ144" s="136">
        <v>43</v>
      </c>
      <c r="CK144" s="136" t="str">
        <f t="shared" si="9"/>
        <v>Iniciados</v>
      </c>
      <c r="CL144" s="136" t="str">
        <f t="shared" si="10"/>
        <v>Pares</v>
      </c>
      <c r="CM144" s="136" t="str">
        <f t="shared" si="11"/>
        <v>Mistos</v>
      </c>
      <c r="CN144" s="136" t="str">
        <f>"Jogo 15º/16º lugar"</f>
        <v>Jogo 15º/16º lugar</v>
      </c>
      <c r="CO144" s="136" t="str">
        <f>$P$90</f>
        <v>Disputa 15º/16º  Jogador1</v>
      </c>
      <c r="CP144" s="136" t="str">
        <f>$P$94</f>
        <v>Disputa 15º/16º  Jogador2</v>
      </c>
    </row>
    <row r="145" spans="53:94" ht="15" hidden="1" customHeight="1">
      <c r="BA145" s="88"/>
      <c r="BB145" s="300"/>
      <c r="BC145" s="301"/>
      <c r="BD145" s="79"/>
      <c r="BE145" s="80"/>
      <c r="BF145" s="80"/>
      <c r="BG145" s="80"/>
      <c r="BH145" s="80"/>
      <c r="BI145" s="80"/>
      <c r="BJ145" s="80"/>
      <c r="BK145" s="80"/>
      <c r="BL145" s="80"/>
      <c r="BM145" s="81"/>
      <c r="BN145" s="255"/>
      <c r="BO145" s="257"/>
      <c r="BP145" s="82"/>
      <c r="BQ145" s="82"/>
      <c r="BR145" s="82"/>
      <c r="BS145" s="83"/>
      <c r="BT145" s="80"/>
      <c r="BU145" s="80"/>
      <c r="BV145" s="80"/>
      <c r="BW145" s="80"/>
      <c r="BX145" s="255"/>
      <c r="BY145" s="81"/>
      <c r="BZ145" s="80"/>
      <c r="CA145" s="80"/>
      <c r="CB145" s="80"/>
      <c r="CC145" s="80"/>
      <c r="CD145" s="80"/>
      <c r="CE145" s="80"/>
      <c r="CF145" s="80"/>
      <c r="CG145" s="80"/>
      <c r="CH145" s="92"/>
      <c r="CJ145" s="136">
        <v>44</v>
      </c>
      <c r="CK145" s="136" t="str">
        <f t="shared" si="9"/>
        <v>Iniciados</v>
      </c>
      <c r="CL145" s="136" t="str">
        <f t="shared" si="10"/>
        <v>Pares</v>
      </c>
      <c r="CM145" s="136" t="str">
        <f t="shared" si="11"/>
        <v>Mistos</v>
      </c>
      <c r="CN145" s="136" t="str">
        <f>"Jogo 13º/14º lugar"</f>
        <v>Jogo 13º/14º lugar</v>
      </c>
      <c r="CO145" s="136" t="str">
        <f>$P$88</f>
        <v>Disputa 13º/14º Jogador1</v>
      </c>
      <c r="CP145" s="136" t="str">
        <f>$P$96</f>
        <v>Disputa 13º/14º Jogador2</v>
      </c>
    </row>
    <row r="146" spans="53:94" ht="12.75" hidden="1" customHeight="1">
      <c r="BA146" s="88"/>
      <c r="BB146" s="84"/>
      <c r="BC146" s="84"/>
      <c r="BD146" s="100">
        <v>1</v>
      </c>
      <c r="BE146" s="100">
        <v>2</v>
      </c>
      <c r="BF146" s="100">
        <v>3</v>
      </c>
      <c r="BG146" s="100">
        <v>4</v>
      </c>
      <c r="BH146" s="100">
        <v>5</v>
      </c>
      <c r="BI146" s="100">
        <v>6</v>
      </c>
      <c r="BJ146" s="100">
        <v>7</v>
      </c>
      <c r="BK146" s="100">
        <v>8</v>
      </c>
      <c r="BL146" s="100">
        <v>9</v>
      </c>
      <c r="BM146" s="100">
        <v>10</v>
      </c>
      <c r="BN146" s="100">
        <v>11</v>
      </c>
      <c r="BO146" s="100">
        <v>12</v>
      </c>
      <c r="BP146" s="100">
        <v>13</v>
      </c>
      <c r="BQ146" s="100">
        <v>14</v>
      </c>
      <c r="BR146" s="100">
        <v>15</v>
      </c>
      <c r="BS146" s="100">
        <v>16</v>
      </c>
      <c r="BT146" s="100">
        <v>17</v>
      </c>
      <c r="BU146" s="100">
        <v>18</v>
      </c>
      <c r="BV146" s="100">
        <v>19</v>
      </c>
      <c r="BW146" s="100">
        <v>20</v>
      </c>
      <c r="BX146" s="100">
        <v>21</v>
      </c>
      <c r="BY146" s="100">
        <v>22</v>
      </c>
      <c r="BZ146" s="100">
        <v>23</v>
      </c>
      <c r="CA146" s="100">
        <v>24</v>
      </c>
      <c r="CB146" s="100">
        <v>25</v>
      </c>
      <c r="CC146" s="100">
        <v>26</v>
      </c>
      <c r="CD146" s="100">
        <v>27</v>
      </c>
      <c r="CE146" s="100">
        <v>28</v>
      </c>
      <c r="CF146" s="100">
        <v>29</v>
      </c>
      <c r="CG146" s="100">
        <v>30</v>
      </c>
      <c r="CH146" s="101"/>
    </row>
    <row r="147" spans="53:94" ht="15" hidden="1" customHeight="1">
      <c r="BA147" s="88"/>
      <c r="BB147" s="298" t="str">
        <f>IF($BB$131="","",$BB$131)</f>
        <v>F Monteiro/B Campos (Norte)</v>
      </c>
      <c r="BC147" s="299"/>
      <c r="BD147" s="74"/>
      <c r="BE147" s="75"/>
      <c r="BF147" s="75"/>
      <c r="BG147" s="75"/>
      <c r="BH147" s="75"/>
      <c r="BI147" s="75"/>
      <c r="BJ147" s="75"/>
      <c r="BK147" s="75"/>
      <c r="BL147" s="75"/>
      <c r="BM147" s="76"/>
      <c r="BN147" s="254"/>
      <c r="BO147" s="256"/>
      <c r="BP147" s="77"/>
      <c r="BQ147" s="77"/>
      <c r="BR147" s="77"/>
      <c r="BS147" s="78"/>
      <c r="BT147" s="75"/>
      <c r="BU147" s="75"/>
      <c r="BV147" s="75"/>
      <c r="BW147" s="75"/>
      <c r="BX147" s="254"/>
      <c r="BY147" s="76"/>
      <c r="BZ147" s="75"/>
      <c r="CA147" s="75"/>
      <c r="CB147" s="75"/>
      <c r="CC147" s="75"/>
      <c r="CD147" s="75"/>
      <c r="CE147" s="75"/>
      <c r="CF147" s="75"/>
      <c r="CG147" s="75"/>
      <c r="CH147" s="92"/>
    </row>
    <row r="148" spans="53:94" ht="15" hidden="1" customHeight="1">
      <c r="BA148" s="88"/>
      <c r="BB148" s="300"/>
      <c r="BC148" s="301"/>
      <c r="BD148" s="79"/>
      <c r="BE148" s="80"/>
      <c r="BF148" s="80"/>
      <c r="BG148" s="80"/>
      <c r="BH148" s="80"/>
      <c r="BI148" s="80"/>
      <c r="BJ148" s="80"/>
      <c r="BK148" s="80"/>
      <c r="BL148" s="80"/>
      <c r="BM148" s="81"/>
      <c r="BN148" s="255"/>
      <c r="BO148" s="257"/>
      <c r="BP148" s="82"/>
      <c r="BQ148" s="82"/>
      <c r="BR148" s="82"/>
      <c r="BS148" s="83"/>
      <c r="BT148" s="80"/>
      <c r="BU148" s="80"/>
      <c r="BV148" s="80"/>
      <c r="BW148" s="80"/>
      <c r="BX148" s="255"/>
      <c r="BY148" s="81"/>
      <c r="BZ148" s="80"/>
      <c r="CA148" s="80"/>
      <c r="CB148" s="80"/>
      <c r="CC148" s="80"/>
      <c r="CD148" s="80"/>
      <c r="CE148" s="80"/>
      <c r="CF148" s="80"/>
      <c r="CG148" s="80"/>
      <c r="CH148" s="92"/>
    </row>
    <row r="149" spans="53:94" ht="15" hidden="1" customHeight="1">
      <c r="BA149" s="88"/>
      <c r="BB149" s="298" t="str">
        <f>IF($BB$133="","",$BB$133)</f>
        <v>L Pascoal/P Bezerra (Alentejo)</v>
      </c>
      <c r="BC149" s="299"/>
      <c r="BD149" s="74"/>
      <c r="BE149" s="75"/>
      <c r="BF149" s="75"/>
      <c r="BG149" s="75"/>
      <c r="BH149" s="75"/>
      <c r="BI149" s="75"/>
      <c r="BJ149" s="75"/>
      <c r="BK149" s="75"/>
      <c r="BL149" s="75"/>
      <c r="BM149" s="76"/>
      <c r="BN149" s="254"/>
      <c r="BO149" s="256"/>
      <c r="BP149" s="77"/>
      <c r="BQ149" s="77"/>
      <c r="BR149" s="77"/>
      <c r="BS149" s="78"/>
      <c r="BT149" s="75"/>
      <c r="BU149" s="75"/>
      <c r="BV149" s="75"/>
      <c r="BW149" s="75"/>
      <c r="BX149" s="254"/>
      <c r="BY149" s="76"/>
      <c r="BZ149" s="75"/>
      <c r="CA149" s="75"/>
      <c r="CB149" s="75"/>
      <c r="CC149" s="75"/>
      <c r="CD149" s="75"/>
      <c r="CE149" s="75"/>
      <c r="CF149" s="75"/>
      <c r="CG149" s="75"/>
      <c r="CH149" s="98" t="s">
        <v>3</v>
      </c>
    </row>
    <row r="150" spans="53:94" ht="15" hidden="1" customHeight="1">
      <c r="BA150" s="88"/>
      <c r="BB150" s="300"/>
      <c r="BC150" s="301"/>
      <c r="BD150" s="79"/>
      <c r="BE150" s="80"/>
      <c r="BF150" s="80"/>
      <c r="BG150" s="80"/>
      <c r="BH150" s="80"/>
      <c r="BI150" s="80"/>
      <c r="BJ150" s="80"/>
      <c r="BK150" s="80"/>
      <c r="BL150" s="80"/>
      <c r="BM150" s="81"/>
      <c r="BN150" s="255"/>
      <c r="BO150" s="257"/>
      <c r="BP150" s="82"/>
      <c r="BQ150" s="82"/>
      <c r="BR150" s="82"/>
      <c r="BS150" s="83"/>
      <c r="BT150" s="80"/>
      <c r="BU150" s="80"/>
      <c r="BV150" s="80"/>
      <c r="BW150" s="80"/>
      <c r="BX150" s="255"/>
      <c r="BY150" s="81"/>
      <c r="BZ150" s="80"/>
      <c r="CA150" s="80"/>
      <c r="CB150" s="80"/>
      <c r="CC150" s="80"/>
      <c r="CD150" s="80"/>
      <c r="CE150" s="80"/>
      <c r="CF150" s="80"/>
      <c r="CG150" s="80"/>
      <c r="CH150" s="92"/>
    </row>
    <row r="151" spans="53:94" ht="65.25" hidden="1" customHeight="1">
      <c r="BA151" s="102"/>
      <c r="BB151" s="103" t="s">
        <v>36</v>
      </c>
      <c r="BC151" s="104"/>
      <c r="BD151" s="105"/>
      <c r="BE151" s="105"/>
      <c r="BF151" s="105"/>
      <c r="BG151" s="105"/>
      <c r="BH151" s="105"/>
      <c r="BI151" s="105"/>
      <c r="BJ151" s="105"/>
      <c r="BK151" s="105"/>
      <c r="BL151" s="105"/>
      <c r="BM151" s="105"/>
      <c r="BN151" s="105"/>
      <c r="BO151" s="105"/>
      <c r="BP151" s="105"/>
      <c r="BQ151" s="105"/>
      <c r="BR151" s="105"/>
      <c r="BS151" s="85"/>
      <c r="BT151" s="85"/>
      <c r="BU151" s="85"/>
      <c r="BV151" s="85"/>
      <c r="BW151" s="85"/>
      <c r="BX151" s="85"/>
      <c r="BY151" s="85"/>
      <c r="BZ151" s="85"/>
      <c r="CA151" s="85"/>
      <c r="CB151" s="85"/>
      <c r="CC151" s="85"/>
      <c r="CD151" s="85"/>
      <c r="CE151" s="85"/>
      <c r="CF151" s="85"/>
      <c r="CG151" s="85"/>
      <c r="CH151" s="81"/>
    </row>
    <row r="152" spans="53:94" ht="26.25" hidden="1" customHeight="1">
      <c r="BA152" s="296"/>
      <c r="BB152" s="296"/>
      <c r="BC152" s="296"/>
      <c r="BD152" s="296"/>
      <c r="BE152" s="296"/>
      <c r="BF152" s="296"/>
      <c r="BG152" s="296"/>
      <c r="BH152" s="296"/>
      <c r="BI152" s="296"/>
      <c r="BJ152" s="296"/>
      <c r="BK152" s="296"/>
      <c r="BL152" s="296"/>
      <c r="BM152" s="296"/>
      <c r="BN152" s="296"/>
      <c r="BO152" s="296"/>
      <c r="BP152" s="296"/>
      <c r="BQ152" s="296"/>
      <c r="BR152" s="296"/>
      <c r="BS152" s="296"/>
      <c r="BT152" s="296"/>
      <c r="BU152" s="296"/>
      <c r="BV152" s="296"/>
      <c r="BW152" s="296"/>
      <c r="BX152" s="296"/>
      <c r="BY152" s="296"/>
      <c r="BZ152" s="296"/>
      <c r="CA152" s="296"/>
      <c r="CB152" s="296"/>
      <c r="CC152" s="296"/>
      <c r="CD152" s="296"/>
      <c r="CE152" s="296"/>
      <c r="CF152" s="296"/>
      <c r="CG152" s="296"/>
      <c r="CH152" s="296"/>
    </row>
    <row r="153" spans="53:94" ht="22.5" hidden="1" customHeight="1"/>
    <row r="154" spans="53:94" ht="22.5" hidden="1" customHeight="1"/>
    <row r="155" spans="53:94" ht="22.5" hidden="1" customHeight="1"/>
    <row r="156" spans="53:94" hidden="1"/>
    <row r="157" spans="53:94" hidden="1"/>
    <row r="158" spans="53:94" hidden="1"/>
    <row r="159" spans="53:94" hidden="1"/>
    <row r="160" spans="53:94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</sheetData>
  <sheetProtection password="E82C" sheet="1" objects="1" scenarios="1" formatCells="0" formatColumns="0" formatRows="0" autoFilter="0"/>
  <autoFilter ref="AN6:AZ54">
    <filterColumn colId="2" showButton="0"/>
    <filterColumn colId="3" showButton="0"/>
    <filterColumn colId="4" showButton="0"/>
  </autoFilter>
  <mergeCells count="326">
    <mergeCell ref="BA152:CH152"/>
    <mergeCell ref="BB137:BC138"/>
    <mergeCell ref="BB139:BC140"/>
    <mergeCell ref="BB142:BC143"/>
    <mergeCell ref="BB144:BC145"/>
    <mergeCell ref="BB147:BC148"/>
    <mergeCell ref="BB149:BC150"/>
    <mergeCell ref="BB133:BC134"/>
    <mergeCell ref="BD133:BF134"/>
    <mergeCell ref="BG133:BI134"/>
    <mergeCell ref="BJ133:BL134"/>
    <mergeCell ref="BO133:BQ134"/>
    <mergeCell ref="BC135:BL135"/>
    <mergeCell ref="BM135:BQ135"/>
    <mergeCell ref="BA126:CH126"/>
    <mergeCell ref="BB127:BN127"/>
    <mergeCell ref="BB130:BC130"/>
    <mergeCell ref="BB131:BC132"/>
    <mergeCell ref="BD131:BF132"/>
    <mergeCell ref="BG131:BI132"/>
    <mergeCell ref="BJ131:BL132"/>
    <mergeCell ref="BO131:BQ132"/>
    <mergeCell ref="BB111:BC112"/>
    <mergeCell ref="BB113:BC114"/>
    <mergeCell ref="BB116:BC117"/>
    <mergeCell ref="BB118:BC119"/>
    <mergeCell ref="BB121:BC122"/>
    <mergeCell ref="BB123:BC124"/>
    <mergeCell ref="BB107:BC108"/>
    <mergeCell ref="BD107:BF108"/>
    <mergeCell ref="BG107:BI108"/>
    <mergeCell ref="BJ107:BL108"/>
    <mergeCell ref="BO107:BQ108"/>
    <mergeCell ref="BC109:BL109"/>
    <mergeCell ref="BM109:BQ109"/>
    <mergeCell ref="BB104:BC104"/>
    <mergeCell ref="BB105:BC106"/>
    <mergeCell ref="BD105:BF106"/>
    <mergeCell ref="BG105:BI106"/>
    <mergeCell ref="BJ105:BL106"/>
    <mergeCell ref="BO105:BQ106"/>
    <mergeCell ref="I94:K94"/>
    <mergeCell ref="P94:R94"/>
    <mergeCell ref="P96:S96"/>
    <mergeCell ref="I98:K98"/>
    <mergeCell ref="BA100:CH100"/>
    <mergeCell ref="BB101:BN101"/>
    <mergeCell ref="I90:K90"/>
    <mergeCell ref="P90:R90"/>
    <mergeCell ref="AP90:AS90"/>
    <mergeCell ref="P92:U92"/>
    <mergeCell ref="X92:AC92"/>
    <mergeCell ref="Y93:AC93"/>
    <mergeCell ref="Y87:AC87"/>
    <mergeCell ref="AP87:AS87"/>
    <mergeCell ref="P88:S88"/>
    <mergeCell ref="Y88:AC88"/>
    <mergeCell ref="AP88:AS88"/>
    <mergeCell ref="Y89:AC89"/>
    <mergeCell ref="AP89:AS89"/>
    <mergeCell ref="I84:W85"/>
    <mergeCell ref="Y84:AD85"/>
    <mergeCell ref="AP84:AS84"/>
    <mergeCell ref="AP85:AS85"/>
    <mergeCell ref="I86:K86"/>
    <mergeCell ref="Y86:AC86"/>
    <mergeCell ref="AP86:AS86"/>
    <mergeCell ref="Y75:AC75"/>
    <mergeCell ref="I76:K76"/>
    <mergeCell ref="P76:R76"/>
    <mergeCell ref="P78:S78"/>
    <mergeCell ref="I80:K80"/>
    <mergeCell ref="AP83:AS83"/>
    <mergeCell ref="Y71:AC71"/>
    <mergeCell ref="AP71:AS71"/>
    <mergeCell ref="I72:K72"/>
    <mergeCell ref="P72:R72"/>
    <mergeCell ref="AP72:AS72"/>
    <mergeCell ref="P74:U74"/>
    <mergeCell ref="X74:AC74"/>
    <mergeCell ref="I68:K68"/>
    <mergeCell ref="Y68:AC68"/>
    <mergeCell ref="AP68:AS68"/>
    <mergeCell ref="Y69:AC69"/>
    <mergeCell ref="AP69:AS69"/>
    <mergeCell ref="P70:S70"/>
    <mergeCell ref="Y70:AC70"/>
    <mergeCell ref="AP70:AS70"/>
    <mergeCell ref="I62:K62"/>
    <mergeCell ref="AP65:AS65"/>
    <mergeCell ref="I66:W67"/>
    <mergeCell ref="Y66:AD67"/>
    <mergeCell ref="AP66:AS66"/>
    <mergeCell ref="AP67:AS67"/>
    <mergeCell ref="P56:U56"/>
    <mergeCell ref="X56:AC56"/>
    <mergeCell ref="Y57:AC57"/>
    <mergeCell ref="I58:K58"/>
    <mergeCell ref="P58:R58"/>
    <mergeCell ref="P60:S60"/>
    <mergeCell ref="P52:S52"/>
    <mergeCell ref="Y52:AC52"/>
    <mergeCell ref="AP52:AS52"/>
    <mergeCell ref="Y53:AC53"/>
    <mergeCell ref="AP53:AS53"/>
    <mergeCell ref="I54:K54"/>
    <mergeCell ref="P54:R54"/>
    <mergeCell ref="AP54:AS54"/>
    <mergeCell ref="B49:D49"/>
    <mergeCell ref="AP49:AS49"/>
    <mergeCell ref="I50:K50"/>
    <mergeCell ref="Y50:AC50"/>
    <mergeCell ref="AP50:AS50"/>
    <mergeCell ref="Y51:AC51"/>
    <mergeCell ref="AP51:AS51"/>
    <mergeCell ref="AP45:AS45"/>
    <mergeCell ref="AP46:AS46"/>
    <mergeCell ref="AP47:AS47"/>
    <mergeCell ref="I48:W49"/>
    <mergeCell ref="Y48:AD49"/>
    <mergeCell ref="AP48:AS48"/>
    <mergeCell ref="C42:D42"/>
    <mergeCell ref="AP42:AS42"/>
    <mergeCell ref="I43:K43"/>
    <mergeCell ref="AP43:AS43"/>
    <mergeCell ref="C44:D44"/>
    <mergeCell ref="AP44:AS44"/>
    <mergeCell ref="I39:K39"/>
    <mergeCell ref="P39:R39"/>
    <mergeCell ref="AP39:AS39"/>
    <mergeCell ref="C40:D40"/>
    <mergeCell ref="AP40:AS40"/>
    <mergeCell ref="P41:S41"/>
    <mergeCell ref="AP41:AS41"/>
    <mergeCell ref="C36:D36"/>
    <mergeCell ref="AP36:AS36"/>
    <mergeCell ref="P37:U37"/>
    <mergeCell ref="X37:AC37"/>
    <mergeCell ref="AP37:AS37"/>
    <mergeCell ref="C38:D38"/>
    <mergeCell ref="Y38:AC38"/>
    <mergeCell ref="AP38:AS38"/>
    <mergeCell ref="C34:D34"/>
    <mergeCell ref="Y34:AC34"/>
    <mergeCell ref="AP34:AS34"/>
    <mergeCell ref="I35:K35"/>
    <mergeCell ref="P35:R35"/>
    <mergeCell ref="AP35:AS35"/>
    <mergeCell ref="AP31:AS31"/>
    <mergeCell ref="C32:D32"/>
    <mergeCell ref="Y32:AC32"/>
    <mergeCell ref="AP32:AS32"/>
    <mergeCell ref="P33:S33"/>
    <mergeCell ref="Y33:AC33"/>
    <mergeCell ref="AP33:AS33"/>
    <mergeCell ref="AP27:AS27"/>
    <mergeCell ref="C28:P28"/>
    <mergeCell ref="AP28:AS28"/>
    <mergeCell ref="Y29:AD30"/>
    <mergeCell ref="AG29:AJ31"/>
    <mergeCell ref="AP29:AS29"/>
    <mergeCell ref="C30:D30"/>
    <mergeCell ref="AP30:AS30"/>
    <mergeCell ref="I31:K31"/>
    <mergeCell ref="Y31:AC31"/>
    <mergeCell ref="Y26:Z26"/>
    <mergeCell ref="AG26:AH26"/>
    <mergeCell ref="AI26:AJ26"/>
    <mergeCell ref="AP26:AS26"/>
    <mergeCell ref="D27:E27"/>
    <mergeCell ref="K27:L27"/>
    <mergeCell ref="R27:S27"/>
    <mergeCell ref="Y27:Z27"/>
    <mergeCell ref="AG27:AH28"/>
    <mergeCell ref="AI27:AJ28"/>
    <mergeCell ref="C26:C27"/>
    <mergeCell ref="D26:E26"/>
    <mergeCell ref="J26:J27"/>
    <mergeCell ref="K26:L26"/>
    <mergeCell ref="Q26:Q27"/>
    <mergeCell ref="R26:S26"/>
    <mergeCell ref="X24:X25"/>
    <mergeCell ref="Y24:Z24"/>
    <mergeCell ref="AE24:AE27"/>
    <mergeCell ref="AP24:AS24"/>
    <mergeCell ref="D25:E25"/>
    <mergeCell ref="K25:L25"/>
    <mergeCell ref="R25:S25"/>
    <mergeCell ref="Y25:Z25"/>
    <mergeCell ref="AP25:AS25"/>
    <mergeCell ref="X26:X27"/>
    <mergeCell ref="C24:C25"/>
    <mergeCell ref="D24:E24"/>
    <mergeCell ref="J24:J25"/>
    <mergeCell ref="K24:L24"/>
    <mergeCell ref="Q24:Q25"/>
    <mergeCell ref="R24:S24"/>
    <mergeCell ref="X22:X23"/>
    <mergeCell ref="Y22:Z22"/>
    <mergeCell ref="AP22:AS22"/>
    <mergeCell ref="D23:E23"/>
    <mergeCell ref="K23:L23"/>
    <mergeCell ref="R23:S23"/>
    <mergeCell ref="Y23:Z23"/>
    <mergeCell ref="AP23:AS23"/>
    <mergeCell ref="C22:C23"/>
    <mergeCell ref="D22:E22"/>
    <mergeCell ref="J22:J23"/>
    <mergeCell ref="K22:L22"/>
    <mergeCell ref="Q22:Q23"/>
    <mergeCell ref="R22:S22"/>
    <mergeCell ref="X20:X21"/>
    <mergeCell ref="Y20:Z20"/>
    <mergeCell ref="AE20:AE23"/>
    <mergeCell ref="AK20:AL20"/>
    <mergeCell ref="AP20:AS20"/>
    <mergeCell ref="D21:E21"/>
    <mergeCell ref="K21:L21"/>
    <mergeCell ref="R21:S21"/>
    <mergeCell ref="Y21:Z21"/>
    <mergeCell ref="AP21:AS21"/>
    <mergeCell ref="C20:C21"/>
    <mergeCell ref="D20:E20"/>
    <mergeCell ref="J20:J21"/>
    <mergeCell ref="K20:L20"/>
    <mergeCell ref="Q20:Q21"/>
    <mergeCell ref="R20:S20"/>
    <mergeCell ref="Y18:Z18"/>
    <mergeCell ref="AP18:AS18"/>
    <mergeCell ref="D19:E19"/>
    <mergeCell ref="K19:L19"/>
    <mergeCell ref="R19:S19"/>
    <mergeCell ref="Y19:Z19"/>
    <mergeCell ref="AP19:AS19"/>
    <mergeCell ref="C18:C19"/>
    <mergeCell ref="D18:E18"/>
    <mergeCell ref="J18:J19"/>
    <mergeCell ref="K18:L18"/>
    <mergeCell ref="Q18:Q19"/>
    <mergeCell ref="R18:S18"/>
    <mergeCell ref="X16:X17"/>
    <mergeCell ref="Y16:Z16"/>
    <mergeCell ref="AE16:AE19"/>
    <mergeCell ref="AP16:AS16"/>
    <mergeCell ref="D17:E17"/>
    <mergeCell ref="K17:L17"/>
    <mergeCell ref="R17:S17"/>
    <mergeCell ref="Y17:Z17"/>
    <mergeCell ref="AP17:AS17"/>
    <mergeCell ref="X18:X19"/>
    <mergeCell ref="C16:C17"/>
    <mergeCell ref="D16:E16"/>
    <mergeCell ref="J16:J17"/>
    <mergeCell ref="K16:L16"/>
    <mergeCell ref="Q16:Q17"/>
    <mergeCell ref="R16:S16"/>
    <mergeCell ref="D15:H15"/>
    <mergeCell ref="K15:O15"/>
    <mergeCell ref="R15:V15"/>
    <mergeCell ref="Y15:AC15"/>
    <mergeCell ref="AK15:AL15"/>
    <mergeCell ref="AP15:AS15"/>
    <mergeCell ref="D13:H13"/>
    <mergeCell ref="K13:O13"/>
    <mergeCell ref="R13:V13"/>
    <mergeCell ref="Y13:AC13"/>
    <mergeCell ref="AP13:AS13"/>
    <mergeCell ref="D14:H14"/>
    <mergeCell ref="K14:O14"/>
    <mergeCell ref="R14:V14"/>
    <mergeCell ref="Y14:AC14"/>
    <mergeCell ref="AP14:AS14"/>
    <mergeCell ref="C11:I11"/>
    <mergeCell ref="J11:P11"/>
    <mergeCell ref="Q11:W11"/>
    <mergeCell ref="X11:AD11"/>
    <mergeCell ref="AP11:AS11"/>
    <mergeCell ref="D12:H12"/>
    <mergeCell ref="K12:O12"/>
    <mergeCell ref="R12:V12"/>
    <mergeCell ref="Y12:AC12"/>
    <mergeCell ref="AP12:AS12"/>
    <mergeCell ref="D10:F10"/>
    <mergeCell ref="K10:M10"/>
    <mergeCell ref="R10:T10"/>
    <mergeCell ref="Y10:AA10"/>
    <mergeCell ref="AK10:AL10"/>
    <mergeCell ref="AP10:AS10"/>
    <mergeCell ref="AI8:AI9"/>
    <mergeCell ref="AJ8:AJ9"/>
    <mergeCell ref="AP8:AS8"/>
    <mergeCell ref="D9:F9"/>
    <mergeCell ref="K9:M9"/>
    <mergeCell ref="R9:T9"/>
    <mergeCell ref="Y9:AA9"/>
    <mergeCell ref="AP9:AS9"/>
    <mergeCell ref="K7:M7"/>
    <mergeCell ref="R7:T7"/>
    <mergeCell ref="Y7:AA7"/>
    <mergeCell ref="AP7:AS7"/>
    <mergeCell ref="D8:F8"/>
    <mergeCell ref="K8:M8"/>
    <mergeCell ref="R8:T8"/>
    <mergeCell ref="Y8:AA8"/>
    <mergeCell ref="AG8:AG9"/>
    <mergeCell ref="AH8:AH9"/>
    <mergeCell ref="X5:AD5"/>
    <mergeCell ref="AG5:AJ7"/>
    <mergeCell ref="AN5:AS5"/>
    <mergeCell ref="AT5:AZ5"/>
    <mergeCell ref="D6:F6"/>
    <mergeCell ref="K6:M6"/>
    <mergeCell ref="R6:T6"/>
    <mergeCell ref="Y6:AA6"/>
    <mergeCell ref="AP6:AS6"/>
    <mergeCell ref="D7:F7"/>
    <mergeCell ref="C2:F2"/>
    <mergeCell ref="H2:X2"/>
    <mergeCell ref="AN2:AZ4"/>
    <mergeCell ref="BB2:BT11"/>
    <mergeCell ref="C3:F3"/>
    <mergeCell ref="H3:O3"/>
    <mergeCell ref="Q3:X3"/>
    <mergeCell ref="C5:I5"/>
    <mergeCell ref="J5:P5"/>
    <mergeCell ref="Q5:W5"/>
  </mergeCells>
  <printOptions horizontalCentered="1" verticalCentered="1"/>
  <pageMargins left="0.19685039370078741" right="0.19685039370078741" top="0" bottom="0" header="0.15748031496062992" footer="0.15748031496062992"/>
  <pageSetup paperSize="9" scale="8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0"/>
  <sheetViews>
    <sheetView workbookViewId="0">
      <selection activeCell="K4" sqref="K4"/>
    </sheetView>
  </sheetViews>
  <sheetFormatPr defaultRowHeight="15"/>
  <cols>
    <col min="1" max="1" width="5.7109375" customWidth="1"/>
    <col min="2" max="2" width="6" customWidth="1"/>
    <col min="3" max="6" width="11.7109375" customWidth="1"/>
    <col min="7" max="7" width="11.7109375" style="260" customWidth="1"/>
    <col min="8" max="10" width="11.7109375" customWidth="1"/>
    <col min="11" max="11" width="4.85546875" customWidth="1"/>
  </cols>
  <sheetData>
    <row r="1" spans="1:11" s="260" customFormat="1" ht="27.75" customHeight="1" thickBot="1">
      <c r="C1" s="464" t="s">
        <v>229</v>
      </c>
      <c r="D1" s="464"/>
      <c r="E1" s="464"/>
      <c r="F1" s="464"/>
      <c r="G1" s="464"/>
      <c r="H1" s="464"/>
      <c r="I1" s="464"/>
    </row>
    <row r="2" spans="1:11" ht="21" customHeight="1" thickBot="1">
      <c r="B2" s="265"/>
      <c r="C2" s="266" t="s">
        <v>73</v>
      </c>
      <c r="D2" s="269" t="s">
        <v>74</v>
      </c>
      <c r="E2" s="269" t="s">
        <v>75</v>
      </c>
      <c r="F2" s="269" t="s">
        <v>76</v>
      </c>
      <c r="G2" s="269" t="s">
        <v>77</v>
      </c>
      <c r="H2" s="269" t="s">
        <v>78</v>
      </c>
      <c r="I2" s="270" t="s">
        <v>79</v>
      </c>
      <c r="J2" s="261"/>
    </row>
    <row r="3" spans="1:11">
      <c r="A3" s="463" t="s">
        <v>80</v>
      </c>
      <c r="B3" s="262">
        <v>0.375</v>
      </c>
      <c r="C3" s="275" t="s">
        <v>84</v>
      </c>
      <c r="D3" s="275" t="s">
        <v>85</v>
      </c>
      <c r="E3" s="275" t="s">
        <v>86</v>
      </c>
      <c r="F3" s="275" t="s">
        <v>87</v>
      </c>
      <c r="G3" s="278" t="s">
        <v>113</v>
      </c>
      <c r="H3" s="278" t="s">
        <v>114</v>
      </c>
      <c r="I3" s="279" t="s">
        <v>115</v>
      </c>
      <c r="K3" s="277" t="s">
        <v>96</v>
      </c>
    </row>
    <row r="4" spans="1:11">
      <c r="A4" s="463"/>
      <c r="B4" s="263">
        <v>0.39583333333333331</v>
      </c>
      <c r="C4" s="280" t="s">
        <v>116</v>
      </c>
      <c r="D4" s="276" t="s">
        <v>88</v>
      </c>
      <c r="E4" s="276" t="s">
        <v>89</v>
      </c>
      <c r="F4" s="276" t="s">
        <v>90</v>
      </c>
      <c r="G4" s="276" t="s">
        <v>91</v>
      </c>
      <c r="H4" s="280" t="s">
        <v>121</v>
      </c>
      <c r="I4" s="289" t="s">
        <v>122</v>
      </c>
      <c r="K4" s="281" t="s">
        <v>117</v>
      </c>
    </row>
    <row r="5" spans="1:11">
      <c r="A5" s="463"/>
      <c r="B5" s="263">
        <v>0.41666666666666669</v>
      </c>
      <c r="C5" s="280" t="s">
        <v>123</v>
      </c>
      <c r="D5" s="280" t="s">
        <v>124</v>
      </c>
      <c r="E5" s="276" t="s">
        <v>92</v>
      </c>
      <c r="F5" s="276" t="s">
        <v>93</v>
      </c>
      <c r="G5" s="276" t="s">
        <v>94</v>
      </c>
      <c r="H5" s="276" t="s">
        <v>95</v>
      </c>
      <c r="I5" s="289" t="s">
        <v>125</v>
      </c>
      <c r="K5" s="282" t="s">
        <v>118</v>
      </c>
    </row>
    <row r="6" spans="1:11">
      <c r="A6" s="463"/>
      <c r="B6" s="263">
        <v>0.4375</v>
      </c>
      <c r="C6" s="280" t="s">
        <v>126</v>
      </c>
      <c r="D6" s="280" t="s">
        <v>127</v>
      </c>
      <c r="E6" s="280" t="s">
        <v>128</v>
      </c>
      <c r="F6" s="285" t="s">
        <v>145</v>
      </c>
      <c r="G6" s="285" t="s">
        <v>146</v>
      </c>
      <c r="H6" s="285" t="s">
        <v>147</v>
      </c>
      <c r="I6" s="290" t="s">
        <v>148</v>
      </c>
      <c r="K6" s="283" t="s">
        <v>119</v>
      </c>
    </row>
    <row r="7" spans="1:11">
      <c r="A7" s="463"/>
      <c r="B7" s="263">
        <v>0.45833333333333331</v>
      </c>
      <c r="C7" s="286" t="s">
        <v>173</v>
      </c>
      <c r="D7" s="286" t="s">
        <v>174</v>
      </c>
      <c r="E7" s="286" t="s">
        <v>175</v>
      </c>
      <c r="F7" s="286" t="s">
        <v>176</v>
      </c>
      <c r="G7" s="287" t="s">
        <v>201</v>
      </c>
      <c r="H7" s="287" t="s">
        <v>202</v>
      </c>
      <c r="I7" s="291" t="s">
        <v>203</v>
      </c>
      <c r="K7" s="284" t="s">
        <v>120</v>
      </c>
    </row>
    <row r="8" spans="1:11">
      <c r="A8" s="463"/>
      <c r="B8" s="263">
        <v>0.47916666666666669</v>
      </c>
      <c r="C8" s="287" t="s">
        <v>204</v>
      </c>
      <c r="D8" s="276" t="s">
        <v>97</v>
      </c>
      <c r="E8" s="276" t="s">
        <v>98</v>
      </c>
      <c r="F8" s="276" t="s">
        <v>99</v>
      </c>
      <c r="G8" s="276" t="s">
        <v>100</v>
      </c>
      <c r="H8" s="280" t="s">
        <v>129</v>
      </c>
      <c r="I8" s="289" t="s">
        <v>130</v>
      </c>
    </row>
    <row r="9" spans="1:11">
      <c r="A9" s="463"/>
      <c r="B9" s="263">
        <v>0.5</v>
      </c>
      <c r="C9" s="280" t="s">
        <v>131</v>
      </c>
      <c r="D9" s="280" t="s">
        <v>132</v>
      </c>
      <c r="E9" s="285" t="s">
        <v>149</v>
      </c>
      <c r="F9" s="285" t="s">
        <v>150</v>
      </c>
      <c r="G9" s="285" t="s">
        <v>151</v>
      </c>
      <c r="H9" s="285" t="s">
        <v>152</v>
      </c>
      <c r="I9" s="292" t="s">
        <v>177</v>
      </c>
    </row>
    <row r="10" spans="1:11">
      <c r="A10" s="463"/>
      <c r="B10" s="263">
        <v>0.52083333333333337</v>
      </c>
      <c r="C10" s="286" t="s">
        <v>178</v>
      </c>
      <c r="D10" s="286" t="s">
        <v>179</v>
      </c>
      <c r="E10" s="286" t="s">
        <v>180</v>
      </c>
      <c r="F10" s="287" t="s">
        <v>205</v>
      </c>
      <c r="G10" s="287" t="s">
        <v>206</v>
      </c>
      <c r="H10" s="287" t="s">
        <v>207</v>
      </c>
      <c r="I10" s="291" t="s">
        <v>208</v>
      </c>
    </row>
    <row r="11" spans="1:11" ht="7.5" customHeight="1">
      <c r="B11" s="273"/>
      <c r="C11" s="274"/>
      <c r="D11" s="274"/>
      <c r="E11" s="274"/>
      <c r="F11" s="274"/>
      <c r="G11" s="274"/>
      <c r="H11" s="274"/>
      <c r="I11" s="274"/>
    </row>
    <row r="12" spans="1:11" ht="15" customHeight="1">
      <c r="A12" s="463" t="s">
        <v>81</v>
      </c>
      <c r="B12" s="263">
        <v>0.58333333333333337</v>
      </c>
      <c r="C12" s="285" t="s">
        <v>153</v>
      </c>
      <c r="D12" s="285" t="s">
        <v>154</v>
      </c>
      <c r="E12" s="285" t="s">
        <v>155</v>
      </c>
      <c r="F12" s="285" t="s">
        <v>156</v>
      </c>
      <c r="G12" s="286" t="s">
        <v>181</v>
      </c>
      <c r="H12" s="286" t="s">
        <v>182</v>
      </c>
      <c r="I12" s="292" t="s">
        <v>183</v>
      </c>
    </row>
    <row r="13" spans="1:11">
      <c r="A13" s="463"/>
      <c r="B13" s="263">
        <v>0.60416666666666663</v>
      </c>
      <c r="C13" s="286" t="s">
        <v>184</v>
      </c>
      <c r="D13" s="287" t="s">
        <v>209</v>
      </c>
      <c r="E13" s="287" t="s">
        <v>210</v>
      </c>
      <c r="F13" s="287" t="s">
        <v>211</v>
      </c>
      <c r="G13" s="287" t="s">
        <v>212</v>
      </c>
      <c r="H13" s="276" t="s">
        <v>101</v>
      </c>
      <c r="I13" s="288" t="s">
        <v>102</v>
      </c>
    </row>
    <row r="14" spans="1:11">
      <c r="A14" s="463"/>
      <c r="B14" s="263">
        <v>0.625</v>
      </c>
      <c r="C14" s="276" t="s">
        <v>103</v>
      </c>
      <c r="D14" s="276" t="s">
        <v>104</v>
      </c>
      <c r="E14" s="280" t="s">
        <v>133</v>
      </c>
      <c r="F14" s="280" t="s">
        <v>134</v>
      </c>
      <c r="G14" s="280" t="s">
        <v>135</v>
      </c>
      <c r="H14" s="280" t="s">
        <v>136</v>
      </c>
      <c r="I14" s="290" t="s">
        <v>157</v>
      </c>
    </row>
    <row r="15" spans="1:11">
      <c r="A15" s="463"/>
      <c r="B15" s="263">
        <v>0.64583333333333337</v>
      </c>
      <c r="C15" s="285" t="s">
        <v>158</v>
      </c>
      <c r="D15" s="285" t="s">
        <v>159</v>
      </c>
      <c r="E15" s="285" t="s">
        <v>160</v>
      </c>
      <c r="F15" s="286" t="s">
        <v>185</v>
      </c>
      <c r="G15" s="286" t="s">
        <v>186</v>
      </c>
      <c r="H15" s="286" t="s">
        <v>187</v>
      </c>
      <c r="I15" s="292" t="s">
        <v>188</v>
      </c>
    </row>
    <row r="16" spans="1:11">
      <c r="A16" s="463"/>
      <c r="B16" s="263">
        <v>0.66666666666666663</v>
      </c>
      <c r="C16" s="287" t="s">
        <v>213</v>
      </c>
      <c r="D16" s="287" t="s">
        <v>214</v>
      </c>
      <c r="E16" s="287" t="s">
        <v>215</v>
      </c>
      <c r="F16" s="287" t="s">
        <v>216</v>
      </c>
      <c r="G16" s="276" t="s">
        <v>106</v>
      </c>
      <c r="H16" s="276" t="s">
        <v>105</v>
      </c>
      <c r="I16" s="289" t="s">
        <v>137</v>
      </c>
    </row>
    <row r="17" spans="1:9">
      <c r="A17" s="463"/>
      <c r="B17" s="263">
        <v>0.6875</v>
      </c>
      <c r="C17" s="280" t="s">
        <v>138</v>
      </c>
      <c r="D17" s="285" t="s">
        <v>161</v>
      </c>
      <c r="E17" s="285" t="s">
        <v>162</v>
      </c>
      <c r="F17" s="285" t="s">
        <v>163</v>
      </c>
      <c r="G17" s="285" t="s">
        <v>164</v>
      </c>
      <c r="H17" s="286" t="s">
        <v>189</v>
      </c>
      <c r="I17" s="292" t="s">
        <v>190</v>
      </c>
    </row>
    <row r="18" spans="1:9">
      <c r="A18" s="463"/>
      <c r="B18" s="263">
        <v>0.70833333333333337</v>
      </c>
      <c r="C18" s="286" t="s">
        <v>191</v>
      </c>
      <c r="D18" s="286" t="s">
        <v>192</v>
      </c>
      <c r="E18" s="287" t="s">
        <v>217</v>
      </c>
      <c r="F18" s="287" t="s">
        <v>218</v>
      </c>
      <c r="G18" s="287" t="s">
        <v>219</v>
      </c>
      <c r="H18" s="287" t="s">
        <v>220</v>
      </c>
      <c r="I18" s="290" t="s">
        <v>165</v>
      </c>
    </row>
    <row r="19" spans="1:9">
      <c r="A19" s="463"/>
      <c r="B19" s="263">
        <v>0.72916666666666663</v>
      </c>
      <c r="C19" s="285" t="s">
        <v>166</v>
      </c>
      <c r="D19" s="286" t="s">
        <v>193</v>
      </c>
      <c r="E19" s="286" t="s">
        <v>194</v>
      </c>
      <c r="F19" s="287" t="s">
        <v>221</v>
      </c>
      <c r="G19" s="287" t="s">
        <v>222</v>
      </c>
      <c r="H19" s="276" t="s">
        <v>107</v>
      </c>
      <c r="I19" s="288" t="s">
        <v>108</v>
      </c>
    </row>
    <row r="20" spans="1:9">
      <c r="A20" s="463"/>
      <c r="B20" s="263">
        <v>0.75</v>
      </c>
      <c r="C20" s="280" t="s">
        <v>139</v>
      </c>
      <c r="D20" s="280" t="s">
        <v>140</v>
      </c>
      <c r="E20" s="285" t="s">
        <v>167</v>
      </c>
      <c r="F20" s="285" t="s">
        <v>168</v>
      </c>
      <c r="G20" s="286" t="s">
        <v>195</v>
      </c>
      <c r="H20" s="286" t="s">
        <v>196</v>
      </c>
      <c r="I20" s="291" t="s">
        <v>223</v>
      </c>
    </row>
    <row r="21" spans="1:9">
      <c r="A21" s="463"/>
      <c r="B21" s="263">
        <v>0.77083333333333337</v>
      </c>
      <c r="C21" s="287" t="s">
        <v>224</v>
      </c>
      <c r="D21" s="267"/>
      <c r="E21" s="267"/>
      <c r="F21" s="267"/>
      <c r="G21" s="267"/>
      <c r="H21" s="267"/>
      <c r="I21" s="271"/>
    </row>
    <row r="22" spans="1:9" ht="6" customHeight="1">
      <c r="B22" s="273"/>
      <c r="C22" s="274"/>
      <c r="D22" s="274"/>
      <c r="E22" s="274"/>
      <c r="F22" s="274"/>
      <c r="G22" s="274"/>
      <c r="H22" s="274"/>
      <c r="I22" s="274"/>
    </row>
    <row r="23" spans="1:9">
      <c r="A23" s="463" t="s">
        <v>82</v>
      </c>
      <c r="B23" s="263">
        <v>0.39583333333333331</v>
      </c>
      <c r="C23" s="276" t="s">
        <v>109</v>
      </c>
      <c r="D23" s="280" t="s">
        <v>141</v>
      </c>
      <c r="E23" s="285" t="s">
        <v>169</v>
      </c>
      <c r="F23" s="286" t="s">
        <v>197</v>
      </c>
      <c r="G23" s="287" t="s">
        <v>225</v>
      </c>
      <c r="H23" s="267"/>
      <c r="I23" s="271"/>
    </row>
    <row r="24" spans="1:9">
      <c r="A24" s="463"/>
      <c r="B24" s="263">
        <v>0.41666666666666669</v>
      </c>
      <c r="C24" s="276" t="s">
        <v>110</v>
      </c>
      <c r="D24" s="280" t="s">
        <v>142</v>
      </c>
      <c r="E24" s="285" t="s">
        <v>170</v>
      </c>
      <c r="F24" s="286" t="s">
        <v>198</v>
      </c>
      <c r="G24" s="287" t="s">
        <v>226</v>
      </c>
      <c r="H24" s="267"/>
      <c r="I24" s="271"/>
    </row>
    <row r="25" spans="1:9">
      <c r="A25" s="463"/>
      <c r="B25" s="263">
        <v>0.4375</v>
      </c>
      <c r="C25" s="276" t="s">
        <v>111</v>
      </c>
      <c r="D25" s="280" t="s">
        <v>143</v>
      </c>
      <c r="E25" s="285" t="s">
        <v>171</v>
      </c>
      <c r="F25" s="286" t="s">
        <v>199</v>
      </c>
      <c r="G25" s="287" t="s">
        <v>227</v>
      </c>
      <c r="H25" s="267"/>
      <c r="I25" s="271"/>
    </row>
    <row r="26" spans="1:9">
      <c r="A26" s="463"/>
      <c r="B26" s="263">
        <v>0.45833333333333331</v>
      </c>
      <c r="C26" s="267"/>
      <c r="D26" s="267"/>
      <c r="E26" s="267"/>
      <c r="F26" s="267"/>
      <c r="G26" s="267"/>
      <c r="H26" s="267"/>
      <c r="I26" s="271"/>
    </row>
    <row r="27" spans="1:9" ht="6" customHeight="1">
      <c r="B27" s="273"/>
      <c r="C27" s="274"/>
      <c r="D27" s="274"/>
      <c r="E27" s="274"/>
      <c r="F27" s="274"/>
      <c r="G27" s="274"/>
      <c r="H27" s="274"/>
      <c r="I27" s="274"/>
    </row>
    <row r="28" spans="1:9">
      <c r="A28" s="463" t="s">
        <v>83</v>
      </c>
      <c r="B28" s="263">
        <v>0.58333333333333337</v>
      </c>
      <c r="C28" s="276" t="s">
        <v>112</v>
      </c>
      <c r="D28" s="280" t="s">
        <v>144</v>
      </c>
      <c r="E28" s="285" t="s">
        <v>172</v>
      </c>
      <c r="F28" s="286" t="s">
        <v>200</v>
      </c>
      <c r="G28" s="287" t="s">
        <v>228</v>
      </c>
      <c r="H28" s="267"/>
      <c r="I28" s="271"/>
    </row>
    <row r="29" spans="1:9">
      <c r="A29" s="463"/>
      <c r="B29" s="263">
        <v>0.60416666666666663</v>
      </c>
      <c r="C29" s="267"/>
      <c r="D29" s="267"/>
      <c r="E29" s="267"/>
      <c r="F29" s="267"/>
      <c r="G29" s="267"/>
      <c r="H29" s="267"/>
      <c r="I29" s="271"/>
    </row>
    <row r="30" spans="1:9" ht="15.75" thickBot="1">
      <c r="A30" s="463"/>
      <c r="B30" s="264">
        <v>0.625</v>
      </c>
      <c r="C30" s="268"/>
      <c r="D30" s="268"/>
      <c r="E30" s="268"/>
      <c r="F30" s="268"/>
      <c r="G30" s="268"/>
      <c r="H30" s="268"/>
      <c r="I30" s="272"/>
    </row>
  </sheetData>
  <mergeCells count="5">
    <mergeCell ref="A3:A10"/>
    <mergeCell ref="A12:A21"/>
    <mergeCell ref="A23:A26"/>
    <mergeCell ref="A28:A30"/>
    <mergeCell ref="C1:I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6</vt:i4>
      </vt:variant>
      <vt:variant>
        <vt:lpstr>Intervalos com nome</vt:lpstr>
      </vt:variant>
      <vt:variant>
        <vt:i4>6</vt:i4>
      </vt:variant>
    </vt:vector>
  </HeadingPairs>
  <TitlesOfParts>
    <vt:vector size="12" baseType="lpstr">
      <vt:lpstr>Sing Masc</vt:lpstr>
      <vt:lpstr>Sing Fem</vt:lpstr>
      <vt:lpstr>Par Masc</vt:lpstr>
      <vt:lpstr>Par Fem</vt:lpstr>
      <vt:lpstr>Par Misto</vt:lpstr>
      <vt:lpstr>Calend1</vt:lpstr>
      <vt:lpstr>Calend1!Área_de_Impressão</vt:lpstr>
      <vt:lpstr>'Par Fem'!Área_de_Impressão</vt:lpstr>
      <vt:lpstr>'Par Masc'!Área_de_Impressão</vt:lpstr>
      <vt:lpstr>'Par Misto'!Área_de_Impressão</vt:lpstr>
      <vt:lpstr>'Sing Fem'!Área_de_Impressão</vt:lpstr>
      <vt:lpstr>'Sing Masc'!Área_de_Impressão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Alvaro Pinto</dc:creator>
  <cp:lastModifiedBy>Alvaro Pinto</cp:lastModifiedBy>
  <cp:lastPrinted>2016-06-22T23:18:02Z</cp:lastPrinted>
  <dcterms:created xsi:type="dcterms:W3CDTF">2008-04-08T09:02:52Z</dcterms:created>
  <dcterms:modified xsi:type="dcterms:W3CDTF">2016-06-22T23:19:05Z</dcterms:modified>
</cp:coreProperties>
</file>